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Assumptions" sheetId="2" state="visible" r:id="rId4"/>
    <sheet name="Monthly Budget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<sst xmlns="http://schemas.openxmlformats.org/spreadsheetml/2006/main" count="144" uniqueCount="136">
  <si>
    <t xml:space="preserve">  30-Month Church Plant Budget Dashboard</t>
  </si>
  <si>
    <t xml:space="preserve">  Built by Stuff Planters Need  •  stuffplantersneed.com</t>
  </si>
  <si>
    <t xml:space="preserve">WHAT THIS IS</t>
  </si>
  <si>
    <t xml:space="preserve">A simple, powerful 30-month financial projection for new church plants. Enter a handful of assumptions and the whole budget, cash runway, and dashboard update automatically.</t>
  </si>
  <si>
    <t xml:space="preserve">HOW TO USE IT</t>
  </si>
  <si>
    <t xml:space="preserve">1.  Open the Assumptions tab and fill in the yellow cells with your numbers.</t>
  </si>
  <si>
    <t xml:space="preserve">2.  Watch the Monthly Budget tab build a month-by-month projection from your inputs.</t>
  </si>
  <si>
    <t xml:space="preserve">3.  Check the Dashboard tab for cash runway, totals, break-even, and charts.</t>
  </si>
  <si>
    <t xml:space="preserve">THE GOLDEN RULE</t>
  </si>
  <si>
    <t xml:space="preserve">Only edit the YELLOW cells. They are your inputs.</t>
  </si>
  <si>
    <t xml:space="preserve">Leave the gray / white formula cells alone — they calculate for you. If you overwrite a formula, you'll break the math (just re-download a fresh copy if that happens).</t>
  </si>
  <si>
    <t xml:space="preserve">GOOD TO KNOW</t>
  </si>
  <si>
    <t xml:space="preserve">•  Works in both Microsoft Excel and Google Sheets.</t>
  </si>
  <si>
    <t xml:space="preserve">•  Numbers shown are realistic placeholders for a small plant — replace them with your own.</t>
  </si>
  <si>
    <t xml:space="preserve">•  Negative cash months are automatically flagged in red on the Monthly Budget and Dashboard.</t>
  </si>
  <si>
    <t xml:space="preserve">•  Currency is rounded to whole dollars to keep things clean.</t>
  </si>
  <si>
    <t xml:space="preserve">Questions or want more free tools? Visit stuffplantersneed.com.</t>
  </si>
  <si>
    <t xml:space="preserve">  Assumptions — edit the yellow cells</t>
  </si>
  <si>
    <t xml:space="preserve">Input</t>
  </si>
  <si>
    <t xml:space="preserve">Value</t>
  </si>
  <si>
    <t xml:space="preserve">Notes</t>
  </si>
  <si>
    <t xml:space="preserve">  TIMING</t>
  </si>
  <si>
    <t xml:space="preserve">Launch date (Month 1)</t>
  </si>
  <si>
    <t xml:space="preserve">2026-01-01</t>
  </si>
  <si>
    <t xml:space="preserve">First month of the projection.</t>
  </si>
  <si>
    <t xml:space="preserve">  CASH &amp; STARTUP</t>
  </si>
  <si>
    <t xml:space="preserve">Starting cash / seed funding</t>
  </si>
  <si>
    <t xml:space="preserve">Cash on hand at launch (raised before Month 1).</t>
  </si>
  <si>
    <t xml:space="preserve">One-time startup costs</t>
  </si>
  <si>
    <t xml:space="preserve">Launch gear, branding, deposits. Spent in Month 1.</t>
  </si>
  <si>
    <t xml:space="preserve">  ATTENDANCE</t>
  </si>
  <si>
    <t xml:space="preserve">Launch attendance (Month 1)</t>
  </si>
  <si>
    <t xml:space="preserve">Average weekly attendance at launch.</t>
  </si>
  <si>
    <t xml:space="preserve">Monthly attendance growth</t>
  </si>
  <si>
    <t xml:space="preserve">Avg % growth in attendance each month (~40 to ~120 over 30 mo).</t>
  </si>
  <si>
    <t xml:space="preserve">Attendance cap</t>
  </si>
  <si>
    <t xml:space="preserve">Attendance levels off near this number.</t>
  </si>
  <si>
    <t xml:space="preserve">  GIVING</t>
  </si>
  <si>
    <t xml:space="preserve">Giving per attender / week</t>
  </si>
  <si>
    <t xml:space="preserve">Average weekly gift per person attending.</t>
  </si>
  <si>
    <t xml:space="preserve">Weeks per month</t>
  </si>
  <si>
    <t xml:space="preserve">Used to convert weekly giving to monthly (52/12).</t>
  </si>
  <si>
    <t xml:space="preserve">Monthly giving growth uplift</t>
  </si>
  <si>
    <t xml:space="preserve">Extra % growth on giving per attender per month (maturing generosity).</t>
  </si>
  <si>
    <t xml:space="preserve">  SPONSOR / DENOMINATIONAL SUPPORT</t>
  </si>
  <si>
    <t xml:space="preserve">Sponsor support (Month 1)</t>
  </si>
  <si>
    <t xml:space="preserve">Monthly support from sponsor/denomination at launch.</t>
  </si>
  <si>
    <t xml:space="preserve">Sponsor monthly decline</t>
  </si>
  <si>
    <t xml:space="preserve">% the sponsor support steps down each month as you self-fund.</t>
  </si>
  <si>
    <t xml:space="preserve">  OTHER INCOME</t>
  </si>
  <si>
    <t xml:space="preserve">Fundraising / other (monthly)</t>
  </si>
  <si>
    <t xml:space="preserve">Recurring fundraising, events, misc. income per month.</t>
  </si>
  <si>
    <t xml:space="preserve">  MONTHLY EXPENSES (Month 1 baseline)</t>
  </si>
  <si>
    <t xml:space="preserve">Salaries / staff</t>
  </si>
  <si>
    <t xml:space="preserve">Lead planter + part-time help. Grows with inflation below.</t>
  </si>
  <si>
    <t xml:space="preserve">Rent / venue</t>
  </si>
  <si>
    <t xml:space="preserve">Weekly venue rental or facility lease.</t>
  </si>
  <si>
    <t xml:space="preserve">Software &amp; tech</t>
  </si>
  <si>
    <t xml:space="preserve">ChMS, website, streaming, email, giving platform.</t>
  </si>
  <si>
    <t xml:space="preserve">Equipment</t>
  </si>
  <si>
    <t xml:space="preserve">Audio/visual, kids, signage — ongoing replacement.</t>
  </si>
  <si>
    <t xml:space="preserve">Marketing / outreach</t>
  </si>
  <si>
    <t xml:space="preserve">Invites, ads, community events.</t>
  </si>
  <si>
    <t xml:space="preserve">Missions / benevolence</t>
  </si>
  <si>
    <t xml:space="preserve">Giving outward — % of budget set aside.</t>
  </si>
  <si>
    <t xml:space="preserve">Admin / insurance</t>
  </si>
  <si>
    <t xml:space="preserve">Accounting, liability insurance, supplies.</t>
  </si>
  <si>
    <t xml:space="preserve">Other expenses</t>
  </si>
  <si>
    <t xml:space="preserve">Anything not captured above.</t>
  </si>
  <si>
    <t xml:space="preserve">Monthly expense inflation</t>
  </si>
  <si>
    <t xml:space="preserve">% expenses creep up each month overall.</t>
  </si>
  <si>
    <t xml:space="preserve">  Monthly Budget — 30-Month Projection</t>
  </si>
  <si>
    <t xml:space="preserve">Line item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</si>
  <si>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</si>
  <si>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</si>
  <si>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</si>
  <si>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</si>
  <si>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</si>
  <si>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</si>
  <si>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</si>
  <si>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</si>
  <si>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</si>
  <si>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</si>
  <si>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</si>
  <si>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</si>
  <si>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</si>
  <si>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</si>
  <si>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</si>
  <si>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</si>
  <si>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</si>
  <si>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</si>
  <si>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</si>
  <si>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</si>
  <si>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</si>
  <si>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</si>
  <si>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</si>
  <si>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</si>
  <si>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M25</t>
  </si>
  <si>
    <t xml:space="preserve">M26</t>
  </si>
  <si>
    <t xml:space="preserve">M27</t>
  </si>
  <si>
    <t xml:space="preserve">M28</t>
  </si>
  <si>
    <t xml:space="preserve">M29</t>
  </si>
  <si>
    <t xml:space="preserve">M30</t>
  </si>
  <si>
    <t xml:space="preserve">Month</t>
  </si>
  <si>
    <t xml:space="preserve">Avg attendance</t>
  </si>
  <si>
    <t xml:space="preserve">  INCOME</t>
  </si>
  <si>
    <t xml:space="preserve">Tithes &amp; offerings</t>
  </si>
  <si>
    <t xml:space="preserve">Sponsor / denom. support</t>
  </si>
  <si>
    <t xml:space="preserve">Fundraising / other</t>
  </si>
  <si>
    <t xml:space="preserve">Total income</t>
  </si>
  <si>
    <t xml:space="preserve">  EXPENSES</t>
  </si>
  <si>
    <t xml:space="preserve">Other / startup costs</t>
  </si>
  <si>
    <t xml:space="preserve">Total expenses</t>
  </si>
  <si>
    <t xml:space="preserve">Net (income − expenses)</t>
  </si>
  <si>
    <t xml:space="preserve">Cash balance (EOM)</t>
  </si>
  <si>
    <t xml:space="preserve">  Dashboard — at a glance</t>
  </si>
  <si>
    <t xml:space="preserve">  Stuff Planters Need  •  stuffplantersneed.com — edit inputs on the Assumptions tab</t>
  </si>
  <si>
    <t xml:space="preserve">Chart data (do not edit)</t>
  </si>
  <si>
    <t xml:space="preserve">KEY METRICS</t>
  </si>
  <si>
    <t xml:space="preserve">TIMING</t>
  </si>
  <si>
    <t xml:space="preserve">Income</t>
  </si>
  <si>
    <t xml:space="preserve">Expenses</t>
  </si>
  <si>
    <t xml:space="preserve">Cash</t>
  </si>
  <si>
    <t xml:space="preserve">BE flag</t>
  </si>
  <si>
    <t xml:space="preserve">Cash runway (months until cash &lt; $0)</t>
  </si>
  <si>
    <t xml:space="preserve">Month of lowest cash</t>
  </si>
  <si>
    <t xml:space="preserve">Lowest cash point</t>
  </si>
  <si>
    <t xml:space="preserve">Launch attendance</t>
  </si>
  <si>
    <t xml:space="preserve">Total income (30 mo)</t>
  </si>
  <si>
    <t xml:space="preserve">Month 30 attendance</t>
  </si>
  <si>
    <t xml:space="preserve">Total expenses (30 mo)</t>
  </si>
  <si>
    <t xml:space="preserve">Break-even month (giving ≥ expenses)</t>
  </si>
  <si>
    <t xml:space="preserve">Net surplus / (deficit) 30 mo</t>
  </si>
  <si>
    <t xml:space="preserve">Avg monthly income</t>
  </si>
  <si>
    <t xml:space="preserve">Ending cash balance (Month 30)</t>
  </si>
  <si>
    <t xml:space="preserve">Avg monthly expenses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</si>
</sst>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"/>
    <numFmt numFmtId="166" formatCode="\$#,##0;&quot;($&quot;#,##0\);\-"/>
    <numFmt numFmtId="167" formatCode="#,##0"/>
    <numFmt numFmtId="168" formatCode="0.0%"/>
    <numFmt numFmtId="169" formatCode="0.00"/>
    <numFmt numFmtId="170" formatCode="mmm\ yy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3"/>
      <color rgb="FF1F2D4D"/>
      <name val="Calibri"/>
      <family val="0"/>
      <charset val="1"/>
    </font>
    <font>
      <sz val="11"/>
      <color rgb="FF333333"/>
      <name val="Calibri"/>
      <family val="0"/>
      <charset val="1"/>
    </font>
    <font>
      <i val="true"/>
      <sz val="11"/>
      <color rgb="FFE8743B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1F2D4D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i val="true"/>
      <sz val="10"/>
      <color rgb="FF595959"/>
      <name val="Calibri"/>
      <family val="0"/>
      <charset val="1"/>
    </font>
    <font>
      <sz val="10"/>
      <color rgb="FF595959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12"/>
      <color rgb="FF1F2D4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9"/>
      <color rgb="FF595959"/>
      <name val="Calibri"/>
      <family val="0"/>
      <charset val="1"/>
    </font>
    <font>
      <b val="true"/>
      <sz val="10"/>
      <color rgb="FF595959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16"/>
      <color rgb="FF1F2D4D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2D4D"/>
        <bgColor rgb="FF333333"/>
      </patternFill>
    </fill>
    <fill>
      <patternFill patternType="solid">
        <fgColor rgb="FFE8743B"/>
        <bgColor rgb="FFFF8080"/>
      </patternFill>
    </fill>
    <fill>
      <patternFill patternType="solid">
        <fgColor rgb="FFF2F2F2"/>
        <bgColor rgb="FFFDE9E7"/>
      </patternFill>
    </fill>
    <fill>
      <patternFill patternType="solid">
        <fgColor rgb="FFFFF2CC"/>
        <bgColor rgb="FFFDE9E7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b val="1"/>
        <color rgb="FFFFFFFF"/>
      </font>
      <fill>
        <patternFill>
          <bgColor rgb="FFC0392B"/>
        </patternFill>
      </fill>
    </dxf>
    <dxf>
      <font>
        <name val="Calibri"/>
        <charset val="1"/>
        <family val="0"/>
        <b val="1"/>
        <color rgb="FFC0392B"/>
      </font>
      <fill>
        <patternFill>
          <bgColor rgb="FFFDE9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9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43B"/>
      <rgbColor rgb="FF595959"/>
      <rgbColor rgb="FF8A8D91"/>
      <rgbColor rgb="FF1F2D4D"/>
      <rgbColor rgb="FF339966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Cash Balance Over 30 Months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Dashboard!K5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1f2d4d"/>
            </a:solidFill>
            <a:ln w="28080">
              <a:solidFill>
                <a:srgbClr val="1f2d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Dashboard!$H$6:$H$35</c:f>
              <c:strCache>
                <c:ptCount val="30"/>
                <c:pt idx="0">
                  <c:v>Jan 26</c:v>
                </c:pt>
                <c:pt idx="1">
                  <c:v>Feb 26</c:v>
                </c:pt>
                <c:pt idx="2">
                  <c:v>Mar 26</c:v>
                </c:pt>
                <c:pt idx="3">
                  <c:v>Apr 26</c:v>
                </c:pt>
                <c:pt idx="4">
                  <c:v>May 26</c:v>
                </c:pt>
                <c:pt idx="5">
                  <c:v>Jun 26</c:v>
                </c:pt>
                <c:pt idx="6">
                  <c:v>Jul 26</c:v>
                </c:pt>
                <c:pt idx="7">
                  <c:v>Aug 26</c:v>
                </c:pt>
                <c:pt idx="8">
                  <c:v>Sep 26</c:v>
                </c:pt>
                <c:pt idx="9">
                  <c:v>Oct 26</c:v>
                </c:pt>
                <c:pt idx="10">
                  <c:v>Nov 26</c:v>
                </c:pt>
                <c:pt idx="11">
                  <c:v>Dec 26</c:v>
                </c:pt>
                <c:pt idx="12">
                  <c:v>Jan 27</c:v>
                </c:pt>
                <c:pt idx="13">
                  <c:v>Feb 27</c:v>
                </c:pt>
                <c:pt idx="14">
                  <c:v>Mar 27</c:v>
                </c:pt>
                <c:pt idx="15">
                  <c:v>Apr 27</c:v>
                </c:pt>
                <c:pt idx="16">
                  <c:v>May 27</c:v>
                </c:pt>
                <c:pt idx="17">
                  <c:v>Jun 27</c:v>
                </c:pt>
                <c:pt idx="18">
                  <c:v>Jul 27</c:v>
                </c:pt>
                <c:pt idx="19">
                  <c:v>Aug 27</c:v>
                </c:pt>
                <c:pt idx="20">
                  <c:v>Sep 27</c:v>
                </c:pt>
                <c:pt idx="21">
                  <c:v>Oct 27</c:v>
                </c:pt>
                <c:pt idx="22">
                  <c:v>Nov 27</c:v>
                </c:pt>
                <c:pt idx="23">
                  <c:v>Dec 27</c:v>
                </c:pt>
                <c:pt idx="24">
                  <c:v>Jan 28</c:v>
                </c:pt>
                <c:pt idx="25">
                  <c:v>Feb 28</c:v>
                </c:pt>
                <c:pt idx="26">
                  <c:v>Mar 28</c:v>
                </c:pt>
                <c:pt idx="27">
                  <c:v>Apr 28</c:v>
                </c:pt>
                <c:pt idx="28">
                  <c:v>May 28</c:v>
                </c:pt>
                <c:pt idx="29">
                  <c:v>Jun 28</c:v>
                </c:pt>
              </c:strCache>
            </c:strRef>
          </c:cat>
          <c:val>
            <c:numRef>
              <c:f>Dashboard!$K$6:$K$35</c:f>
              <c:numCache>
                <c:formatCode>\$#,##0;"($"#,##0\);\-</c:formatCode>
                <c:ptCount val="30"/>
                <c:pt idx="0">
                  <c:v>12712</c:v>
                </c:pt>
                <c:pt idx="1">
                  <c:v>13556.14085</c:v>
                </c:pt>
                <c:pt idx="2">
                  <c:v>14545.2812036487</c:v>
                </c:pt>
                <c:pt idx="3">
                  <c:v>15692.5442945853</c:v>
                </c:pt>
                <c:pt idx="4">
                  <c:v>17011.3388465146</c:v>
                </c:pt>
                <c:pt idx="5">
                  <c:v>18515.3804129216</c:v>
                </c:pt>
                <c:pt idx="6">
                  <c:v>20218.7131801059</c:v>
                </c:pt>
                <c:pt idx="7">
                  <c:v>22135.7322679126</c:v>
                </c:pt>
                <c:pt idx="8">
                  <c:v>24281.206563289</c:v>
                </c:pt>
                <c:pt idx="9">
                  <c:v>26670.3021225991</c:v>
                </c:pt>
                <c:pt idx="10">
                  <c:v>29318.6061794936</c:v>
                </c:pt>
                <c:pt idx="11">
                  <c:v>32242.1517960509</c:v>
                </c:pt>
                <c:pt idx="12">
                  <c:v>35457.4431958872</c:v>
                </c:pt>
                <c:pt idx="13">
                  <c:v>38981.481818971</c:v>
                </c:pt>
                <c:pt idx="14">
                  <c:v>42831.7931389833</c:v>
                </c:pt>
                <c:pt idx="15">
                  <c:v>47026.4542852289</c:v>
                </c:pt>
                <c:pt idx="16">
                  <c:v>51584.1225123408</c:v>
                </c:pt>
                <c:pt idx="17">
                  <c:v>56524.0645623145</c:v>
                </c:pt>
                <c:pt idx="18">
                  <c:v>61866.1869647854</c:v>
                </c:pt>
                <c:pt idx="19">
                  <c:v>67631.0673229005</c:v>
                </c:pt>
                <c:pt idx="20">
                  <c:v>73839.9866336529</c:v>
                </c:pt>
                <c:pt idx="21">
                  <c:v>80514.9626931391</c:v>
                </c:pt>
                <c:pt idx="22">
                  <c:v>87678.7846388732</c:v>
                </c:pt>
                <c:pt idx="23">
                  <c:v>95355.0486830407</c:v>
                </c:pt>
                <c:pt idx="24">
                  <c:v>103568.195092414</c:v>
                </c:pt>
                <c:pt idx="25">
                  <c:v>112343.546472573</c:v>
                </c:pt>
                <c:pt idx="26">
                  <c:v>121707.347416097</c:v>
                </c:pt>
                <c:pt idx="27">
                  <c:v>131686.805576476</c:v>
                </c:pt>
                <c:pt idx="28">
                  <c:v>142310.13423173</c:v>
                </c:pt>
                <c:pt idx="29">
                  <c:v>153606.596403987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4601393"/>
        <c:axId val="50371231"/>
      </c:lineChart>
      <c:catAx>
        <c:axId val="94601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 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0371231"/>
        <c:crosses val="autoZero"/>
        <c:auto val="1"/>
        <c:lblAlgn val="ctr"/>
        <c:lblOffset val="100"/>
        <c:noMultiLvlLbl val="0"/>
      </c:catAx>
      <c:valAx>
        <c:axId val="5037123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Cash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60139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Monthly Income vs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Dashboard!I5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e8743b"/>
            </a:solidFill>
            <a:ln w="28080">
              <a:solidFill>
                <a:srgbClr val="e8743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Dashboard!$H$6:$H$35</c:f>
              <c:strCache>
                <c:ptCount val="30"/>
                <c:pt idx="0">
                  <c:v>Jan 26</c:v>
                </c:pt>
                <c:pt idx="1">
                  <c:v>Feb 26</c:v>
                </c:pt>
                <c:pt idx="2">
                  <c:v>Mar 26</c:v>
                </c:pt>
                <c:pt idx="3">
                  <c:v>Apr 26</c:v>
                </c:pt>
                <c:pt idx="4">
                  <c:v>May 26</c:v>
                </c:pt>
                <c:pt idx="5">
                  <c:v>Jun 26</c:v>
                </c:pt>
                <c:pt idx="6">
                  <c:v>Jul 26</c:v>
                </c:pt>
                <c:pt idx="7">
                  <c:v>Aug 26</c:v>
                </c:pt>
                <c:pt idx="8">
                  <c:v>Sep 26</c:v>
                </c:pt>
                <c:pt idx="9">
                  <c:v>Oct 26</c:v>
                </c:pt>
                <c:pt idx="10">
                  <c:v>Nov 26</c:v>
                </c:pt>
                <c:pt idx="11">
                  <c:v>Dec 26</c:v>
                </c:pt>
                <c:pt idx="12">
                  <c:v>Jan 27</c:v>
                </c:pt>
                <c:pt idx="13">
                  <c:v>Feb 27</c:v>
                </c:pt>
                <c:pt idx="14">
                  <c:v>Mar 27</c:v>
                </c:pt>
                <c:pt idx="15">
                  <c:v>Apr 27</c:v>
                </c:pt>
                <c:pt idx="16">
                  <c:v>May 27</c:v>
                </c:pt>
                <c:pt idx="17">
                  <c:v>Jun 27</c:v>
                </c:pt>
                <c:pt idx="18">
                  <c:v>Jul 27</c:v>
                </c:pt>
                <c:pt idx="19">
                  <c:v>Aug 27</c:v>
                </c:pt>
                <c:pt idx="20">
                  <c:v>Sep 27</c:v>
                </c:pt>
                <c:pt idx="21">
                  <c:v>Oct 27</c:v>
                </c:pt>
                <c:pt idx="22">
                  <c:v>Nov 27</c:v>
                </c:pt>
                <c:pt idx="23">
                  <c:v>Dec 27</c:v>
                </c:pt>
                <c:pt idx="24">
                  <c:v>Jan 28</c:v>
                </c:pt>
                <c:pt idx="25">
                  <c:v>Feb 28</c:v>
                </c:pt>
                <c:pt idx="26">
                  <c:v>Mar 28</c:v>
                </c:pt>
                <c:pt idx="27">
                  <c:v>Apr 28</c:v>
                </c:pt>
                <c:pt idx="28">
                  <c:v>May 28</c:v>
                </c:pt>
                <c:pt idx="29">
                  <c:v>Jun 28</c:v>
                </c:pt>
              </c:strCache>
            </c:strRef>
          </c:cat>
          <c:val>
            <c:numRef>
              <c:f>Dashboard!$I$6:$I$35</c:f>
              <c:numCache>
                <c:formatCode>\$#,##0;"($"#,##0\);\-</c:formatCode>
                <c:ptCount val="30"/>
                <c:pt idx="0">
                  <c:v>8562</c:v>
                </c:pt>
                <c:pt idx="1">
                  <c:v>8725.54085</c:v>
                </c:pt>
                <c:pt idx="2">
                  <c:v>8902.06595364875</c:v>
                </c:pt>
                <c:pt idx="3">
                  <c:v>9091.84039333658</c:v>
                </c:pt>
                <c:pt idx="4">
                  <c:v>9295.15016353888</c:v>
                </c:pt>
                <c:pt idx="5">
                  <c:v>9512.30260046305</c:v>
                </c:pt>
                <c:pt idx="6">
                  <c:v>9743.6268453765</c:v>
                </c:pt>
                <c:pt idx="7">
                  <c:v>9989.47434231174</c:v>
                </c:pt>
                <c:pt idx="8">
                  <c:v>10250.2193708995</c:v>
                </c:pt>
                <c:pt idx="9">
                  <c:v>10526.2596151353</c:v>
                </c:pt>
                <c:pt idx="10">
                  <c:v>10818.0167689429</c:v>
                </c:pt>
                <c:pt idx="11">
                  <c:v>11125.9371794539</c:v>
                </c:pt>
                <c:pt idx="12">
                  <c:v>11450.4925289845</c:v>
                </c:pt>
                <c:pt idx="13">
                  <c:v>11792.1805567486</c:v>
                </c:pt>
                <c:pt idx="14">
                  <c:v>12151.5258214117</c:v>
                </c:pt>
                <c:pt idx="15">
                  <c:v>12529.0805056508</c:v>
                </c:pt>
                <c:pt idx="16">
                  <c:v>12925.4252639546</c:v>
                </c:pt>
                <c:pt idx="17">
                  <c:v>13341.1701149637</c:v>
                </c:pt>
                <c:pt idx="18">
                  <c:v>13776.9553797209</c:v>
                </c:pt>
                <c:pt idx="19">
                  <c:v>14233.4526672742</c:v>
                </c:pt>
                <c:pt idx="20">
                  <c:v>14711.365909148</c:v>
                </c:pt>
                <c:pt idx="21">
                  <c:v>15211.4324442755</c:v>
                </c:pt>
                <c:pt idx="22">
                  <c:v>15734.4241560626</c:v>
                </c:pt>
                <c:pt idx="23">
                  <c:v>16281.1486633372</c:v>
                </c:pt>
                <c:pt idx="24">
                  <c:v>16852.4505670194</c:v>
                </c:pt>
                <c:pt idx="25">
                  <c:v>17449.2127544367</c:v>
                </c:pt>
                <c:pt idx="26">
                  <c:v>18072.357763298</c:v>
                </c:pt>
                <c:pt idx="27">
                  <c:v>18722.8492074322</c:v>
                </c:pt>
                <c:pt idx="28">
                  <c:v>19401.6932664948</c:v>
                </c:pt>
                <c:pt idx="29">
                  <c:v>20109.9402419441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Dashboard!J5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8a8d91"/>
            </a:solidFill>
            <a:ln w="24120">
              <a:solidFill>
                <a:srgbClr val="8a8d9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41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Dashboard!$H$6:$H$35</c:f>
              <c:strCache>
                <c:ptCount val="30"/>
                <c:pt idx="0">
                  <c:v>Jan 26</c:v>
                </c:pt>
                <c:pt idx="1">
                  <c:v>Feb 26</c:v>
                </c:pt>
                <c:pt idx="2">
                  <c:v>Mar 26</c:v>
                </c:pt>
                <c:pt idx="3">
                  <c:v>Apr 26</c:v>
                </c:pt>
                <c:pt idx="4">
                  <c:v>May 26</c:v>
                </c:pt>
                <c:pt idx="5">
                  <c:v>Jun 26</c:v>
                </c:pt>
                <c:pt idx="6">
                  <c:v>Jul 26</c:v>
                </c:pt>
                <c:pt idx="7">
                  <c:v>Aug 26</c:v>
                </c:pt>
                <c:pt idx="8">
                  <c:v>Sep 26</c:v>
                </c:pt>
                <c:pt idx="9">
                  <c:v>Oct 26</c:v>
                </c:pt>
                <c:pt idx="10">
                  <c:v>Nov 26</c:v>
                </c:pt>
                <c:pt idx="11">
                  <c:v>Dec 26</c:v>
                </c:pt>
                <c:pt idx="12">
                  <c:v>Jan 27</c:v>
                </c:pt>
                <c:pt idx="13">
                  <c:v>Feb 27</c:v>
                </c:pt>
                <c:pt idx="14">
                  <c:v>Mar 27</c:v>
                </c:pt>
                <c:pt idx="15">
                  <c:v>Apr 27</c:v>
                </c:pt>
                <c:pt idx="16">
                  <c:v>May 27</c:v>
                </c:pt>
                <c:pt idx="17">
                  <c:v>Jun 27</c:v>
                </c:pt>
                <c:pt idx="18">
                  <c:v>Jul 27</c:v>
                </c:pt>
                <c:pt idx="19">
                  <c:v>Aug 27</c:v>
                </c:pt>
                <c:pt idx="20">
                  <c:v>Sep 27</c:v>
                </c:pt>
                <c:pt idx="21">
                  <c:v>Oct 27</c:v>
                </c:pt>
                <c:pt idx="22">
                  <c:v>Nov 27</c:v>
                </c:pt>
                <c:pt idx="23">
                  <c:v>Dec 27</c:v>
                </c:pt>
                <c:pt idx="24">
                  <c:v>Jan 28</c:v>
                </c:pt>
                <c:pt idx="25">
                  <c:v>Feb 28</c:v>
                </c:pt>
                <c:pt idx="26">
                  <c:v>Mar 28</c:v>
                </c:pt>
                <c:pt idx="27">
                  <c:v>Apr 28</c:v>
                </c:pt>
                <c:pt idx="28">
                  <c:v>May 28</c:v>
                </c:pt>
                <c:pt idx="29">
                  <c:v>Jun 28</c:v>
                </c:pt>
              </c:strCache>
            </c:strRef>
          </c:cat>
          <c:val>
            <c:numRef>
              <c:f>Dashboard!$J$6:$J$35</c:f>
              <c:numCache>
                <c:formatCode>\$#,##0;"($"#,##0\);\-</c:formatCode>
                <c:ptCount val="30"/>
                <c:pt idx="0">
                  <c:v>25850</c:v>
                </c:pt>
                <c:pt idx="1">
                  <c:v>7881.4</c:v>
                </c:pt>
                <c:pt idx="2">
                  <c:v>7912.9256</c:v>
                </c:pt>
                <c:pt idx="3">
                  <c:v>7944.5773024</c:v>
                </c:pt>
                <c:pt idx="4">
                  <c:v>7976.3556116096</c:v>
                </c:pt>
                <c:pt idx="5">
                  <c:v>8008.26103405604</c:v>
                </c:pt>
                <c:pt idx="6">
                  <c:v>8040.29407819226</c:v>
                </c:pt>
                <c:pt idx="7">
                  <c:v>8072.45525450503</c:v>
                </c:pt>
                <c:pt idx="8">
                  <c:v>8104.74507552305</c:v>
                </c:pt>
                <c:pt idx="9">
                  <c:v>8137.16405582514</c:v>
                </c:pt>
                <c:pt idx="10">
                  <c:v>8169.71271204844</c:v>
                </c:pt>
                <c:pt idx="11">
                  <c:v>8202.39156289664</c:v>
                </c:pt>
                <c:pt idx="12">
                  <c:v>8235.20112914823</c:v>
                </c:pt>
                <c:pt idx="13">
                  <c:v>8268.14193366482</c:v>
                </c:pt>
                <c:pt idx="14">
                  <c:v>8301.21450139948</c:v>
                </c:pt>
                <c:pt idx="15">
                  <c:v>8334.41935940508</c:v>
                </c:pt>
                <c:pt idx="16">
                  <c:v>8367.7570368427</c:v>
                </c:pt>
                <c:pt idx="17">
                  <c:v>8401.22806499007</c:v>
                </c:pt>
                <c:pt idx="18">
                  <c:v>8434.83297725003</c:v>
                </c:pt>
                <c:pt idx="19">
                  <c:v>8468.57230915903</c:v>
                </c:pt>
                <c:pt idx="20">
                  <c:v>8502.44659839566</c:v>
                </c:pt>
                <c:pt idx="21">
                  <c:v>8536.45638478925</c:v>
                </c:pt>
                <c:pt idx="22">
                  <c:v>8570.6022103284</c:v>
                </c:pt>
                <c:pt idx="23">
                  <c:v>8604.88461916972</c:v>
                </c:pt>
                <c:pt idx="24">
                  <c:v>8639.3041576464</c:v>
                </c:pt>
                <c:pt idx="25">
                  <c:v>8673.86137427698</c:v>
                </c:pt>
                <c:pt idx="26">
                  <c:v>8708.55681977409</c:v>
                </c:pt>
                <c:pt idx="27">
                  <c:v>8743.39104705319</c:v>
                </c:pt>
                <c:pt idx="28">
                  <c:v>8778.3646112414</c:v>
                </c:pt>
                <c:pt idx="29">
                  <c:v>8813.47806968636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9436919"/>
        <c:axId val="32204687"/>
      </c:lineChart>
      <c:catAx>
        <c:axId val="294369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 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2204687"/>
        <c:crosses val="autoZero"/>
        <c:auto val="1"/>
        <c:lblAlgn val="ctr"/>
        <c:lblOffset val="100"/>
        <c:noMultiLvlLbl val="0"/>
      </c:catAx>
      <c:valAx>
        <c:axId val="322046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$ /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94369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53280</xdr:rowOff>
    </xdr:from>
    <xdr:to>
      <xdr:col>6</xdr:col>
      <xdr:colOff>150840</xdr:colOff>
      <xdr:row>32</xdr:row>
      <xdr:rowOff>170640</xdr:rowOff>
    </xdr:to>
    <xdr:graphicFrame>
      <xdr:nvGraphicFramePr>
        <xdr:cNvPr id="0" name="Chart 1"/>
        <xdr:cNvGraphicFramePr/>
      </xdr:nvGraphicFramePr>
      <xdr:xfrm>
        <a:off x="211320" y="3733920"/>
        <a:ext cx="719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34</xdr:row>
      <xdr:rowOff>169560</xdr:rowOff>
    </xdr:from>
    <xdr:to>
      <xdr:col>6</xdr:col>
      <xdr:colOff>150840</xdr:colOff>
      <xdr:row>51</xdr:row>
      <xdr:rowOff>170640</xdr:rowOff>
    </xdr:to>
    <xdr:graphicFrame>
      <xdr:nvGraphicFramePr>
        <xdr:cNvPr id="1" name="Chart 2"/>
        <xdr:cNvGraphicFramePr/>
      </xdr:nvGraphicFramePr>
      <xdr:xfrm>
        <a:off x="211320" y="7353360"/>
        <a:ext cx="719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2" customFormat="false" ht="42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5" customFormat="false" ht="15" hidden="false" customHeight="false" outlineLevel="0" collapsed="false">
      <c r="B5" s="3"/>
    </row>
    <row r="6" customFormat="false" ht="16.15" hidden="false" customHeight="false" outlineLevel="0" collapsed="false">
      <c r="B6" s="4" t="s">
        <v>2</v>
      </c>
    </row>
    <row r="7" customFormat="false" ht="30" hidden="false" customHeight="true" outlineLevel="0" collapsed="false">
      <c r="B7" s="5" t="s">
        <v>3</v>
      </c>
    </row>
    <row r="8" customFormat="false" ht="15" hidden="false" customHeight="false" outlineLevel="0" collapsed="false">
      <c r="B8" s="3"/>
    </row>
    <row r="9" customFormat="false" ht="16.15" hidden="false" customHeight="false" outlineLevel="0" collapsed="false">
      <c r="B9" s="4" t="s">
        <v>4</v>
      </c>
    </row>
    <row r="10" customFormat="false" ht="30" hidden="false" customHeight="true" outlineLevel="0" collapsed="false">
      <c r="B10" s="5" t="s">
        <v>5</v>
      </c>
    </row>
    <row r="11" customFormat="false" ht="30" hidden="false" customHeight="true" outlineLevel="0" collapsed="false">
      <c r="B11" s="5" t="s">
        <v>6</v>
      </c>
    </row>
    <row r="12" customFormat="false" ht="30" hidden="false" customHeight="true" outlineLevel="0" collapsed="false">
      <c r="B12" s="5" t="s">
        <v>7</v>
      </c>
    </row>
    <row r="13" customFormat="false" ht="15" hidden="false" customHeight="false" outlineLevel="0" collapsed="false">
      <c r="B13" s="3"/>
    </row>
    <row r="14" customFormat="false" ht="16.15" hidden="false" customHeight="false" outlineLevel="0" collapsed="false">
      <c r="B14" s="4" t="s">
        <v>8</v>
      </c>
    </row>
    <row r="15" customFormat="false" ht="30" hidden="false" customHeight="true" outlineLevel="0" collapsed="false">
      <c r="B15" s="5" t="s">
        <v>9</v>
      </c>
    </row>
    <row r="16" customFormat="false" ht="30" hidden="false" customHeight="true" outlineLevel="0" collapsed="false">
      <c r="B16" s="5" t="s">
        <v>10</v>
      </c>
    </row>
    <row r="17" customFormat="false" ht="15" hidden="false" customHeight="false" outlineLevel="0" collapsed="false">
      <c r="B17" s="3"/>
    </row>
    <row r="18" customFormat="false" ht="16.15" hidden="false" customHeight="false" outlineLevel="0" collapsed="false">
      <c r="B18" s="4" t="s">
        <v>11</v>
      </c>
    </row>
    <row r="19" customFormat="false" ht="30" hidden="false" customHeight="true" outlineLevel="0" collapsed="false">
      <c r="B19" s="5" t="s">
        <v>12</v>
      </c>
    </row>
    <row r="20" customFormat="false" ht="30" hidden="false" customHeight="true" outlineLevel="0" collapsed="false">
      <c r="B20" s="5" t="s">
        <v>13</v>
      </c>
    </row>
    <row r="21" customFormat="false" ht="30" hidden="false" customHeight="true" outlineLevel="0" collapsed="false">
      <c r="B21" s="5" t="s">
        <v>14</v>
      </c>
    </row>
    <row r="22" customFormat="false" ht="30" hidden="false" customHeight="true" outlineLevel="0" collapsed="false">
      <c r="B22" s="5" t="s">
        <v>15</v>
      </c>
    </row>
    <row r="23" customFormat="false" ht="15" hidden="false" customHeight="false" outlineLevel="0" collapsed="false">
      <c r="B23" s="3"/>
    </row>
    <row r="24" customFormat="false" ht="15" hidden="false" customHeight="false" outlineLevel="0" collapsed="false">
      <c r="B24" s="6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6"/>
    <col collapsed="false" customWidth="true" hidden="false" outlineLevel="0" max="3" min="3" style="0" width="16"/>
    <col collapsed="false" customWidth="true" hidden="false" outlineLevel="0" max="4" min="4" style="0" width="54"/>
  </cols>
  <sheetData>
    <row r="2" customFormat="false" ht="33.75" hidden="false" customHeight="true" outlineLevel="0" collapsed="false">
      <c r="B2" s="7" t="s">
        <v>17</v>
      </c>
      <c r="C2" s="7"/>
      <c r="D2" s="7"/>
    </row>
    <row r="4" customFormat="false" ht="15" hidden="false" customHeight="false" outlineLevel="0" collapsed="false">
      <c r="B4" s="8" t="s">
        <v>18</v>
      </c>
      <c r="C4" s="9" t="s">
        <v>19</v>
      </c>
      <c r="D4" s="8" t="s">
        <v>20</v>
      </c>
    </row>
    <row r="5" customFormat="false" ht="15" hidden="false" customHeight="false" outlineLevel="0" collapsed="false">
      <c r="B5" s="10" t="s">
        <v>21</v>
      </c>
      <c r="C5" s="10"/>
      <c r="D5" s="10"/>
    </row>
    <row r="6" customFormat="false" ht="15" hidden="false" customHeight="false" outlineLevel="0" collapsed="false">
      <c r="B6" s="11" t="s">
        <v>22</v>
      </c>
      <c r="C6" s="12" t="s">
        <v>23</v>
      </c>
      <c r="D6" s="13" t="s">
        <v>24</v>
      </c>
    </row>
    <row r="7" customFormat="false" ht="15" hidden="false" customHeight="false" outlineLevel="0" collapsed="false">
      <c r="B7" s="10" t="s">
        <v>25</v>
      </c>
      <c r="C7" s="10"/>
      <c r="D7" s="10"/>
    </row>
    <row r="8" customFormat="false" ht="15" hidden="false" customHeight="false" outlineLevel="0" collapsed="false">
      <c r="B8" s="11" t="s">
        <v>26</v>
      </c>
      <c r="C8" s="14" t="n">
        <v>30000</v>
      </c>
      <c r="D8" s="13" t="s">
        <v>27</v>
      </c>
    </row>
    <row r="9" customFormat="false" ht="15" hidden="false" customHeight="false" outlineLevel="0" collapsed="false">
      <c r="B9" s="11" t="s">
        <v>28</v>
      </c>
      <c r="C9" s="14" t="n">
        <v>18000</v>
      </c>
      <c r="D9" s="13" t="s">
        <v>29</v>
      </c>
    </row>
    <row r="10" customFormat="false" ht="15" hidden="false" customHeight="false" outlineLevel="0" collapsed="false">
      <c r="B10" s="10" t="s">
        <v>30</v>
      </c>
      <c r="C10" s="10"/>
      <c r="D10" s="10"/>
    </row>
    <row r="11" customFormat="false" ht="15" hidden="false" customHeight="false" outlineLevel="0" collapsed="false">
      <c r="B11" s="11" t="s">
        <v>31</v>
      </c>
      <c r="C11" s="15" t="n">
        <v>40</v>
      </c>
      <c r="D11" s="13" t="s">
        <v>32</v>
      </c>
    </row>
    <row r="12" customFormat="false" ht="15" hidden="false" customHeight="false" outlineLevel="0" collapsed="false">
      <c r="B12" s="11" t="s">
        <v>33</v>
      </c>
      <c r="C12" s="16" t="n">
        <v>0.035</v>
      </c>
      <c r="D12" s="13" t="s">
        <v>34</v>
      </c>
    </row>
    <row r="13" customFormat="false" ht="15" hidden="false" customHeight="false" outlineLevel="0" collapsed="false">
      <c r="B13" s="11" t="s">
        <v>35</v>
      </c>
      <c r="C13" s="15" t="n">
        <v>120</v>
      </c>
      <c r="D13" s="13" t="s">
        <v>36</v>
      </c>
    </row>
    <row r="14" customFormat="false" ht="15" hidden="false" customHeight="false" outlineLevel="0" collapsed="false">
      <c r="B14" s="10" t="s">
        <v>37</v>
      </c>
      <c r="C14" s="10"/>
      <c r="D14" s="10"/>
    </row>
    <row r="15" customFormat="false" ht="15" hidden="false" customHeight="false" outlineLevel="0" collapsed="false">
      <c r="B15" s="11" t="s">
        <v>38</v>
      </c>
      <c r="C15" s="14" t="n">
        <v>35</v>
      </c>
      <c r="D15" s="13" t="s">
        <v>39</v>
      </c>
    </row>
    <row r="16" customFormat="false" ht="15" hidden="false" customHeight="false" outlineLevel="0" collapsed="false">
      <c r="B16" s="11" t="s">
        <v>40</v>
      </c>
      <c r="C16" s="17" t="n">
        <v>4.33</v>
      </c>
      <c r="D16" s="13" t="s">
        <v>41</v>
      </c>
    </row>
    <row r="17" customFormat="false" ht="15" hidden="false" customHeight="false" outlineLevel="0" collapsed="false">
      <c r="B17" s="11" t="s">
        <v>42</v>
      </c>
      <c r="C17" s="16" t="n">
        <v>0.005</v>
      </c>
      <c r="D17" s="13" t="s">
        <v>43</v>
      </c>
    </row>
    <row r="18" customFormat="false" ht="15" hidden="false" customHeight="false" outlineLevel="0" collapsed="false">
      <c r="B18" s="10" t="s">
        <v>44</v>
      </c>
      <c r="C18" s="10"/>
      <c r="D18" s="10"/>
    </row>
    <row r="19" customFormat="false" ht="15" hidden="false" customHeight="false" outlineLevel="0" collapsed="false">
      <c r="B19" s="11" t="s">
        <v>45</v>
      </c>
      <c r="C19" s="14" t="n">
        <v>2000</v>
      </c>
      <c r="D19" s="13" t="s">
        <v>46</v>
      </c>
    </row>
    <row r="20" customFormat="false" ht="15" hidden="false" customHeight="false" outlineLevel="0" collapsed="false">
      <c r="B20" s="11" t="s">
        <v>47</v>
      </c>
      <c r="C20" s="16" t="n">
        <v>0.04</v>
      </c>
      <c r="D20" s="13" t="s">
        <v>48</v>
      </c>
    </row>
    <row r="21" customFormat="false" ht="15" hidden="false" customHeight="false" outlineLevel="0" collapsed="false">
      <c r="B21" s="10" t="s">
        <v>49</v>
      </c>
      <c r="C21" s="10"/>
      <c r="D21" s="10"/>
    </row>
    <row r="22" customFormat="false" ht="15" hidden="false" customHeight="false" outlineLevel="0" collapsed="false">
      <c r="B22" s="11" t="s">
        <v>50</v>
      </c>
      <c r="C22" s="14" t="n">
        <v>500</v>
      </c>
      <c r="D22" s="13" t="s">
        <v>51</v>
      </c>
    </row>
    <row r="23" customFormat="false" ht="15" hidden="false" customHeight="false" outlineLevel="0" collapsed="false">
      <c r="B23" s="10" t="s">
        <v>52</v>
      </c>
      <c r="C23" s="10"/>
      <c r="D23" s="10"/>
    </row>
    <row r="24" customFormat="false" ht="15" hidden="false" customHeight="false" outlineLevel="0" collapsed="false">
      <c r="B24" s="11" t="s">
        <v>53</v>
      </c>
      <c r="C24" s="14" t="n">
        <v>4500</v>
      </c>
      <c r="D24" s="13" t="s">
        <v>54</v>
      </c>
    </row>
    <row r="25" customFormat="false" ht="15" hidden="false" customHeight="false" outlineLevel="0" collapsed="false">
      <c r="B25" s="11" t="s">
        <v>55</v>
      </c>
      <c r="C25" s="14" t="n">
        <v>1500</v>
      </c>
      <c r="D25" s="13" t="s">
        <v>56</v>
      </c>
    </row>
    <row r="26" customFormat="false" ht="15" hidden="false" customHeight="false" outlineLevel="0" collapsed="false">
      <c r="B26" s="11" t="s">
        <v>57</v>
      </c>
      <c r="C26" s="14" t="n">
        <v>250</v>
      </c>
      <c r="D26" s="13" t="s">
        <v>58</v>
      </c>
    </row>
    <row r="27" customFormat="false" ht="15" hidden="false" customHeight="false" outlineLevel="0" collapsed="false">
      <c r="B27" s="11" t="s">
        <v>59</v>
      </c>
      <c r="C27" s="14" t="n">
        <v>300</v>
      </c>
      <c r="D27" s="13" t="s">
        <v>60</v>
      </c>
    </row>
    <row r="28" customFormat="false" ht="15" hidden="false" customHeight="false" outlineLevel="0" collapsed="false">
      <c r="B28" s="11" t="s">
        <v>61</v>
      </c>
      <c r="C28" s="14" t="n">
        <v>600</v>
      </c>
      <c r="D28" s="13" t="s">
        <v>62</v>
      </c>
    </row>
    <row r="29" customFormat="false" ht="15" hidden="false" customHeight="false" outlineLevel="0" collapsed="false">
      <c r="B29" s="11" t="s">
        <v>63</v>
      </c>
      <c r="C29" s="14" t="n">
        <v>200</v>
      </c>
      <c r="D29" s="13" t="s">
        <v>64</v>
      </c>
    </row>
    <row r="30" customFormat="false" ht="15" hidden="false" customHeight="false" outlineLevel="0" collapsed="false">
      <c r="B30" s="11" t="s">
        <v>65</v>
      </c>
      <c r="C30" s="14" t="n">
        <v>350</v>
      </c>
      <c r="D30" s="13" t="s">
        <v>66</v>
      </c>
    </row>
    <row r="31" customFormat="false" ht="15" hidden="false" customHeight="false" outlineLevel="0" collapsed="false">
      <c r="B31" s="11" t="s">
        <v>67</v>
      </c>
      <c r="C31" s="14" t="n">
        <v>150</v>
      </c>
      <c r="D31" s="13" t="s">
        <v>68</v>
      </c>
    </row>
    <row r="32" customFormat="false" ht="15" hidden="false" customHeight="false" outlineLevel="0" collapsed="false">
      <c r="B32" s="11" t="s">
        <v>69</v>
      </c>
      <c r="C32" s="16" t="n">
        <v>0.004</v>
      </c>
      <c r="D32" s="13" t="s">
        <v>70</v>
      </c>
    </row>
  </sheetData>
  <mergeCells count="8">
    <mergeCell ref="B2:D2"/>
    <mergeCell ref="B5:D5"/>
    <mergeCell ref="B7:D7"/>
    <mergeCell ref="B10:D10"/>
    <mergeCell ref="B14:D14"/>
    <mergeCell ref="B18:D18"/>
    <mergeCell ref="B21:D21"/>
    <mergeCell ref="B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"/>
    <col collapsed="false" customWidth="true" hidden="false" outlineLevel="0" max="33" min="4" style="0" width="12"/>
  </cols>
  <sheetData>
    <row r="2" customFormat="false" ht="31.5" hidden="false" customHeight="true" outlineLevel="0" collapsed="false">
      <c r="B2" s="7" t="s">
        <v>71</v>
      </c>
      <c r="C2" s="7"/>
      <c r="D2" s="7"/>
      <c r="E2" s="7"/>
      <c r="F2" s="7"/>
      <c r="G2" s="7"/>
      <c r="H2" s="7"/>
    </row>
    <row r="4" customFormat="false" ht="15" hidden="false" customHeight="false" outlineLevel="0" collapsed="false">
      <c r="B4" s="18" t="s">
        <v>72</v>
      </c>
      <c r="D4" s="19" t="s">
        <v>73</v>
      </c>
      <c r="E4" s="19" t="s">
        <v>74</v>
      </c>
      <c r="F4" s="19" t="s">
        <v>75</v>
      </c>
      <c r="G4" s="19" t="s">
        <v>76</v>
      </c>
      <c r="H4" s="19" t="s">
        <v>77</v>
      </c>
      <c r="I4" s="19" t="s">
        <v>78</v>
      </c>
      <c r="J4" s="19" t="s">
        <v>79</v>
      </c>
      <c r="K4" s="19" t="s">
        <v>80</v>
      </c>
      <c r="L4" s="19" t="s">
        <v>81</v>
      </c>
      <c r="M4" s="19" t="s">
        <v>82</v>
      </c>
      <c r="N4" s="19" t="s">
        <v>83</v>
      </c>
      <c r="O4" s="19" t="s">
        <v>84</v>
      </c>
      <c r="P4" s="19" t="s">
        <v>85</v>
      </c>
      <c r="Q4" s="19" t="s">
        <v>86</v>
      </c>
      <c r="R4" s="19" t="s">
        <v>87</v>
      </c>
      <c r="S4" s="19" t="s">
        <v>88</v>
      </c>
      <c r="T4" s="19" t="s">
        <v>89</v>
      </c>
      <c r="U4" s="19" t="s">
        <v>90</v>
      </c>
      <c r="V4" s="19" t="s">
        <v>91</v>
      </c>
      <c r="W4" s="19" t="s">
        <v>92</v>
      </c>
      <c r="X4" s="19" t="s">
        <v>93</v>
      </c>
      <c r="Y4" s="19" t="s">
        <v>94</v>
      </c>
      <c r="Z4" s="19" t="s">
        <v>95</v>
      </c>
      <c r="AA4" s="19" t="s">
        <v>96</v>
      </c>
      <c r="AB4" s="19" t="s">
        <v>97</v>
      </c>
      <c r="AC4" s="19" t="s">
        <v>98</v>
      </c>
      <c r="AD4" s="19" t="s">
        <v>99</v>
      </c>
      <c r="AE4" s="19" t="s">
        <v>100</v>
      </c>
      <c r="AF4" s="19" t="s">
        <v>101</v>
      </c>
      <c r="AG4" s="19" t="s">
        <v>102</v>
      </c>
    </row>
    <row r="5" customFormat="false" ht="15" hidden="false" customHeight="false" outlineLevel="0" collapsed="false">
      <c r="B5" s="20" t="s">
        <v>103</v>
      </c>
      <c r="D5" s="21" t="n">
        <f aca="false">EDATE(Assumptions!$C$6,0)</f>
        <v>46023</v>
      </c>
      <c r="E5" s="21" t="n">
        <f aca="false">EDATE(Assumptions!$C$6,1)</f>
        <v>46054</v>
      </c>
      <c r="F5" s="21" t="n">
        <f aca="false">EDATE(Assumptions!$C$6,2)</f>
        <v>46082</v>
      </c>
      <c r="G5" s="21" t="n">
        <f aca="false">EDATE(Assumptions!$C$6,3)</f>
        <v>46113</v>
      </c>
      <c r="H5" s="21" t="n">
        <f aca="false">EDATE(Assumptions!$C$6,4)</f>
        <v>46143</v>
      </c>
      <c r="I5" s="21" t="n">
        <f aca="false">EDATE(Assumptions!$C$6,5)</f>
        <v>46174</v>
      </c>
      <c r="J5" s="21" t="n">
        <f aca="false">EDATE(Assumptions!$C$6,6)</f>
        <v>46204</v>
      </c>
      <c r="K5" s="21" t="n">
        <f aca="false">EDATE(Assumptions!$C$6,7)</f>
        <v>46235</v>
      </c>
      <c r="L5" s="21" t="n">
        <f aca="false">EDATE(Assumptions!$C$6,8)</f>
        <v>46266</v>
      </c>
      <c r="M5" s="21" t="n">
        <f aca="false">EDATE(Assumptions!$C$6,9)</f>
        <v>46296</v>
      </c>
      <c r="N5" s="21" t="n">
        <f aca="false">EDATE(Assumptions!$C$6,10)</f>
        <v>46327</v>
      </c>
      <c r="O5" s="21" t="n">
        <f aca="false">EDATE(Assumptions!$C$6,11)</f>
        <v>46357</v>
      </c>
      <c r="P5" s="21" t="n">
        <f aca="false">EDATE(Assumptions!$C$6,12)</f>
        <v>46388</v>
      </c>
      <c r="Q5" s="21" t="n">
        <f aca="false">EDATE(Assumptions!$C$6,13)</f>
        <v>46419</v>
      </c>
      <c r="R5" s="21" t="n">
        <f aca="false">EDATE(Assumptions!$C$6,14)</f>
        <v>46447</v>
      </c>
      <c r="S5" s="21" t="n">
        <f aca="false">EDATE(Assumptions!$C$6,15)</f>
        <v>46478</v>
      </c>
      <c r="T5" s="21" t="n">
        <f aca="false">EDATE(Assumptions!$C$6,16)</f>
        <v>46508</v>
      </c>
      <c r="U5" s="21" t="n">
        <f aca="false">EDATE(Assumptions!$C$6,17)</f>
        <v>46539</v>
      </c>
      <c r="V5" s="21" t="n">
        <f aca="false">EDATE(Assumptions!$C$6,18)</f>
        <v>46569</v>
      </c>
      <c r="W5" s="21" t="n">
        <f aca="false">EDATE(Assumptions!$C$6,19)</f>
        <v>46600</v>
      </c>
      <c r="X5" s="21" t="n">
        <f aca="false">EDATE(Assumptions!$C$6,20)</f>
        <v>46631</v>
      </c>
      <c r="Y5" s="21" t="n">
        <f aca="false">EDATE(Assumptions!$C$6,21)</f>
        <v>46661</v>
      </c>
      <c r="Z5" s="21" t="n">
        <f aca="false">EDATE(Assumptions!$C$6,22)</f>
        <v>46692</v>
      </c>
      <c r="AA5" s="21" t="n">
        <f aca="false">EDATE(Assumptions!$C$6,23)</f>
        <v>46722</v>
      </c>
      <c r="AB5" s="21" t="n">
        <f aca="false">EDATE(Assumptions!$C$6,24)</f>
        <v>46753</v>
      </c>
      <c r="AC5" s="21" t="n">
        <f aca="false">EDATE(Assumptions!$C$6,25)</f>
        <v>46784</v>
      </c>
      <c r="AD5" s="21" t="n">
        <f aca="false">EDATE(Assumptions!$C$6,26)</f>
        <v>46813</v>
      </c>
      <c r="AE5" s="21" t="n">
        <f aca="false">EDATE(Assumptions!$C$6,27)</f>
        <v>46844</v>
      </c>
      <c r="AF5" s="21" t="n">
        <f aca="false">EDATE(Assumptions!$C$6,28)</f>
        <v>46874</v>
      </c>
      <c r="AG5" s="21" t="n">
        <f aca="false">EDATE(Assumptions!$C$6,29)</f>
        <v>46905</v>
      </c>
    </row>
    <row r="6" customFormat="false" ht="15" hidden="false" customHeight="false" outlineLevel="0" collapsed="false">
      <c r="B6" s="20" t="s">
        <v>104</v>
      </c>
      <c r="D6" s="22" t="n">
        <f aca="false">MIN(Assumptions!$C$11,Assumptions!$C$13)</f>
        <v>40</v>
      </c>
      <c r="E6" s="22" t="n">
        <f aca="false">MIN(D6*(1+Assumptions!$C$12),Assumptions!$C$13)</f>
        <v>41.4</v>
      </c>
      <c r="F6" s="22" t="n">
        <f aca="false">MIN(E6*(1+Assumptions!$C$12),Assumptions!$C$13)</f>
        <v>42.849</v>
      </c>
      <c r="G6" s="22" t="n">
        <f aca="false">MIN(F6*(1+Assumptions!$C$12),Assumptions!$C$13)</f>
        <v>44.348715</v>
      </c>
      <c r="H6" s="22" t="n">
        <f aca="false">MIN(G6*(1+Assumptions!$C$12),Assumptions!$C$13)</f>
        <v>45.900920025</v>
      </c>
      <c r="I6" s="22" t="n">
        <f aca="false">MIN(H6*(1+Assumptions!$C$12),Assumptions!$C$13)</f>
        <v>47.507452225875</v>
      </c>
      <c r="J6" s="22" t="n">
        <f aca="false">MIN(I6*(1+Assumptions!$C$12),Assumptions!$C$13)</f>
        <v>49.1702130537806</v>
      </c>
      <c r="K6" s="22" t="n">
        <f aca="false">MIN(J6*(1+Assumptions!$C$12),Assumptions!$C$13)</f>
        <v>50.8911705106629</v>
      </c>
      <c r="L6" s="22" t="n">
        <f aca="false">MIN(K6*(1+Assumptions!$C$12),Assumptions!$C$13)</f>
        <v>52.6723614785361</v>
      </c>
      <c r="M6" s="22" t="n">
        <f aca="false">MIN(L6*(1+Assumptions!$C$12),Assumptions!$C$13)</f>
        <v>54.5158941302849</v>
      </c>
      <c r="N6" s="22" t="n">
        <f aca="false">MIN(M6*(1+Assumptions!$C$12),Assumptions!$C$13)</f>
        <v>56.4239504248449</v>
      </c>
      <c r="O6" s="22" t="n">
        <f aca="false">MIN(N6*(1+Assumptions!$C$12),Assumptions!$C$13)</f>
        <v>58.3987886897144</v>
      </c>
      <c r="P6" s="22" t="n">
        <f aca="false">MIN(O6*(1+Assumptions!$C$12),Assumptions!$C$13)</f>
        <v>60.4427462938544</v>
      </c>
      <c r="Q6" s="22" t="n">
        <f aca="false">MIN(P6*(1+Assumptions!$C$12),Assumptions!$C$13)</f>
        <v>62.5582424141393</v>
      </c>
      <c r="R6" s="22" t="n">
        <f aca="false">MIN(Q6*(1+Assumptions!$C$12),Assumptions!$C$13)</f>
        <v>64.7477808986342</v>
      </c>
      <c r="S6" s="22" t="n">
        <f aca="false">MIN(R6*(1+Assumptions!$C$12),Assumptions!$C$13)</f>
        <v>67.0139532300864</v>
      </c>
      <c r="T6" s="22" t="n">
        <f aca="false">MIN(S6*(1+Assumptions!$C$12),Assumptions!$C$13)</f>
        <v>69.3594415931394</v>
      </c>
      <c r="U6" s="22" t="n">
        <f aca="false">MIN(T6*(1+Assumptions!$C$12),Assumptions!$C$13)</f>
        <v>71.7870220488993</v>
      </c>
      <c r="V6" s="22" t="n">
        <f aca="false">MIN(U6*(1+Assumptions!$C$12),Assumptions!$C$13)</f>
        <v>74.2995678206108</v>
      </c>
      <c r="W6" s="22" t="n">
        <f aca="false">MIN(V6*(1+Assumptions!$C$12),Assumptions!$C$13)</f>
        <v>76.9000526943321</v>
      </c>
      <c r="X6" s="22" t="n">
        <f aca="false">MIN(W6*(1+Assumptions!$C$12),Assumptions!$C$13)</f>
        <v>79.5915545386337</v>
      </c>
      <c r="Y6" s="22" t="n">
        <f aca="false">MIN(X6*(1+Assumptions!$C$12),Assumptions!$C$13)</f>
        <v>82.3772589474859</v>
      </c>
      <c r="Z6" s="22" t="n">
        <f aca="false">MIN(Y6*(1+Assumptions!$C$12),Assumptions!$C$13)</f>
        <v>85.2604630106479</v>
      </c>
      <c r="AA6" s="22" t="n">
        <f aca="false">MIN(Z6*(1+Assumptions!$C$12),Assumptions!$C$13)</f>
        <v>88.2445792160206</v>
      </c>
      <c r="AB6" s="22" t="n">
        <f aca="false">MIN(AA6*(1+Assumptions!$C$12),Assumptions!$C$13)</f>
        <v>91.3331394885813</v>
      </c>
      <c r="AC6" s="22" t="n">
        <f aca="false">MIN(AB6*(1+Assumptions!$C$12),Assumptions!$C$13)</f>
        <v>94.5297993706816</v>
      </c>
      <c r="AD6" s="22" t="n">
        <f aca="false">MIN(AC6*(1+Assumptions!$C$12),Assumptions!$C$13)</f>
        <v>97.8383423486555</v>
      </c>
      <c r="AE6" s="22" t="n">
        <f aca="false">MIN(AD6*(1+Assumptions!$C$12),Assumptions!$C$13)</f>
        <v>101.262684330858</v>
      </c>
      <c r="AF6" s="22" t="n">
        <f aca="false">MIN(AE6*(1+Assumptions!$C$12),Assumptions!$C$13)</f>
        <v>104.806878282438</v>
      </c>
      <c r="AG6" s="22" t="n">
        <f aca="false">MIN(AF6*(1+Assumptions!$C$12),Assumptions!$C$13)</f>
        <v>108.475119022324</v>
      </c>
    </row>
    <row r="8" customFormat="false" ht="15" hidden="false" customHeight="false" outlineLevel="0" collapsed="false">
      <c r="B8" s="2" t="s">
        <v>105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customFormat="false" ht="15" hidden="false" customHeight="false" outlineLevel="0" collapsed="false">
      <c r="B9" s="11" t="s">
        <v>106</v>
      </c>
      <c r="D9" s="24" t="n">
        <f aca="false">D6*Assumptions!$C$15*(1+Assumptions!$C$17)^0*Assumptions!$C$16</f>
        <v>6062</v>
      </c>
      <c r="E9" s="24" t="n">
        <f aca="false">E6*Assumptions!$C$15*(1+Assumptions!$C$17)^1*Assumptions!$C$16</f>
        <v>6305.54085</v>
      </c>
      <c r="F9" s="24" t="n">
        <f aca="false">F6*Assumptions!$C$15*(1+Assumptions!$C$17)^2*Assumptions!$C$16</f>
        <v>6558.86595364875</v>
      </c>
      <c r="G9" s="24" t="n">
        <f aca="false">G6*Assumptions!$C$15*(1+Assumptions!$C$17)^3*Assumptions!$C$16</f>
        <v>6822.36839333659</v>
      </c>
      <c r="H9" s="24" t="n">
        <f aca="false">H6*Assumptions!$C$15*(1+Assumptions!$C$17)^4*Assumptions!$C$16</f>
        <v>7096.45704353888</v>
      </c>
      <c r="I9" s="24" t="n">
        <f aca="false">I6*Assumptions!$C$15*(1+Assumptions!$C$17)^5*Assumptions!$C$16</f>
        <v>7381.55720526305</v>
      </c>
      <c r="J9" s="24" t="n">
        <f aca="false">J6*Assumptions!$C$15*(1+Assumptions!$C$17)^6*Assumptions!$C$16</f>
        <v>7678.1112659845</v>
      </c>
      <c r="K9" s="24" t="n">
        <f aca="false">K6*Assumptions!$C$15*(1+Assumptions!$C$17)^7*Assumptions!$C$16</f>
        <v>7986.57938609542</v>
      </c>
      <c r="L9" s="24" t="n">
        <f aca="false">L6*Assumptions!$C$15*(1+Assumptions!$C$17)^8*Assumptions!$C$16</f>
        <v>8307.44021293181</v>
      </c>
      <c r="M9" s="24" t="n">
        <f aca="false">M6*Assumptions!$C$15*(1+Assumptions!$C$17)^9*Assumptions!$C$16</f>
        <v>8641.19162348634</v>
      </c>
      <c r="N9" s="24" t="n">
        <f aca="false">N6*Assumptions!$C$15*(1+Assumptions!$C$17)^10*Assumptions!$C$16</f>
        <v>8988.3514969599</v>
      </c>
      <c r="O9" s="24" t="n">
        <f aca="false">O6*Assumptions!$C$15*(1+Assumptions!$C$17)^11*Assumptions!$C$16</f>
        <v>9349.45851835026</v>
      </c>
      <c r="P9" s="24" t="n">
        <f aca="false">P6*Assumptions!$C$15*(1+Assumptions!$C$17)^12*Assumptions!$C$16</f>
        <v>9725.07301432498</v>
      </c>
      <c r="Q9" s="24" t="n">
        <f aca="false">Q6*Assumptions!$C$15*(1+Assumptions!$C$17)^13*Assumptions!$C$16</f>
        <v>10115.7778226755</v>
      </c>
      <c r="R9" s="24" t="n">
        <f aca="false">R6*Assumptions!$C$15*(1+Assumptions!$C$17)^14*Assumptions!$C$16</f>
        <v>10522.1791967015</v>
      </c>
      <c r="S9" s="24" t="n">
        <f aca="false">S6*Assumptions!$C$15*(1+Assumptions!$C$17)^15*Assumptions!$C$16</f>
        <v>10944.907745929</v>
      </c>
      <c r="T9" s="24" t="n">
        <f aca="false">T6*Assumptions!$C$15*(1+Assumptions!$C$17)^16*Assumptions!$C$16</f>
        <v>11384.6194146217</v>
      </c>
      <c r="U9" s="24" t="n">
        <f aca="false">U6*Assumptions!$C$15*(1+Assumptions!$C$17)^17*Assumptions!$C$16</f>
        <v>11841.9964996041</v>
      </c>
      <c r="V9" s="24" t="n">
        <f aca="false">V6*Assumptions!$C$15*(1+Assumptions!$C$17)^18*Assumptions!$C$16</f>
        <v>12317.7487089757</v>
      </c>
      <c r="W9" s="24" t="n">
        <f aca="false">W6*Assumptions!$C$15*(1+Assumptions!$C$17)^19*Assumptions!$C$16</f>
        <v>12812.6142633588</v>
      </c>
      <c r="X9" s="24" t="n">
        <f aca="false">X6*Assumptions!$C$15*(1+Assumptions!$C$17)^20*Assumptions!$C$16</f>
        <v>13327.3610413892</v>
      </c>
      <c r="Y9" s="24" t="n">
        <f aca="false">Y6*Assumptions!$C$15*(1+Assumptions!$C$17)^21*Assumptions!$C$16</f>
        <v>13862.787771227</v>
      </c>
      <c r="Z9" s="24" t="n">
        <f aca="false">Z6*Assumptions!$C$15*(1+Assumptions!$C$17)^22*Assumptions!$C$16</f>
        <v>14419.725269936</v>
      </c>
      <c r="AA9" s="24" t="n">
        <f aca="false">AA6*Assumptions!$C$15*(1+Assumptions!$C$17)^23*Assumptions!$C$16</f>
        <v>14999.0377326557</v>
      </c>
      <c r="AB9" s="24" t="n">
        <f aca="false">AB6*Assumptions!$C$15*(1+Assumptions!$C$17)^24*Assumptions!$C$16</f>
        <v>15601.6240735652</v>
      </c>
      <c r="AC9" s="24" t="n">
        <f aca="false">AC6*Assumptions!$C$15*(1+Assumptions!$C$17)^25*Assumptions!$C$16</f>
        <v>16228.4193207206</v>
      </c>
      <c r="AD9" s="24" t="n">
        <f aca="false">AD6*Assumptions!$C$15*(1+Assumptions!$C$17)^26*Assumptions!$C$16</f>
        <v>16880.3960669306</v>
      </c>
      <c r="AE9" s="24" t="n">
        <f aca="false">AE6*Assumptions!$C$15*(1+Assumptions!$C$17)^27*Assumptions!$C$16</f>
        <v>17558.5659789195</v>
      </c>
      <c r="AF9" s="24" t="n">
        <f aca="false">AF6*Assumptions!$C$15*(1+Assumptions!$C$17)^28*Assumptions!$C$16</f>
        <v>18263.9813671226</v>
      </c>
      <c r="AG9" s="24" t="n">
        <f aca="false">AG6*Assumptions!$C$15*(1+Assumptions!$C$17)^29*Assumptions!$C$16</f>
        <v>18997.7368185468</v>
      </c>
    </row>
    <row r="10" customFormat="false" ht="15" hidden="false" customHeight="false" outlineLevel="0" collapsed="false">
      <c r="B10" s="11" t="s">
        <v>107</v>
      </c>
      <c r="D10" s="24" t="n">
        <f aca="false">Assumptions!$C$19*(1-Assumptions!$C$20)^0</f>
        <v>2000</v>
      </c>
      <c r="E10" s="24" t="n">
        <f aca="false">Assumptions!$C$19*(1-Assumptions!$C$20)^1</f>
        <v>1920</v>
      </c>
      <c r="F10" s="24" t="n">
        <f aca="false">Assumptions!$C$19*(1-Assumptions!$C$20)^2</f>
        <v>1843.2</v>
      </c>
      <c r="G10" s="24" t="n">
        <f aca="false">Assumptions!$C$19*(1-Assumptions!$C$20)^3</f>
        <v>1769.472</v>
      </c>
      <c r="H10" s="24" t="n">
        <f aca="false">Assumptions!$C$19*(1-Assumptions!$C$20)^4</f>
        <v>1698.69312</v>
      </c>
      <c r="I10" s="24" t="n">
        <f aca="false">Assumptions!$C$19*(1-Assumptions!$C$20)^5</f>
        <v>1630.7453952</v>
      </c>
      <c r="J10" s="24" t="n">
        <f aca="false">Assumptions!$C$19*(1-Assumptions!$C$20)^6</f>
        <v>1565.515579392</v>
      </c>
      <c r="K10" s="24" t="n">
        <f aca="false">Assumptions!$C$19*(1-Assumptions!$C$20)^7</f>
        <v>1502.89495621632</v>
      </c>
      <c r="L10" s="24" t="n">
        <f aca="false">Assumptions!$C$19*(1-Assumptions!$C$20)^8</f>
        <v>1442.77915796767</v>
      </c>
      <c r="M10" s="24" t="n">
        <f aca="false">Assumptions!$C$19*(1-Assumptions!$C$20)^9</f>
        <v>1385.06799164896</v>
      </c>
      <c r="N10" s="24" t="n">
        <f aca="false">Assumptions!$C$19*(1-Assumptions!$C$20)^10</f>
        <v>1329.665271983</v>
      </c>
      <c r="O10" s="24" t="n">
        <f aca="false">Assumptions!$C$19*(1-Assumptions!$C$20)^11</f>
        <v>1276.47866110368</v>
      </c>
      <c r="P10" s="24" t="n">
        <f aca="false">Assumptions!$C$19*(1-Assumptions!$C$20)^12</f>
        <v>1225.41951465953</v>
      </c>
      <c r="Q10" s="24" t="n">
        <f aca="false">Assumptions!$C$19*(1-Assumptions!$C$20)^13</f>
        <v>1176.40273407315</v>
      </c>
      <c r="R10" s="24" t="n">
        <f aca="false">Assumptions!$C$19*(1-Assumptions!$C$20)^14</f>
        <v>1129.34662471023</v>
      </c>
      <c r="S10" s="24" t="n">
        <f aca="false">Assumptions!$C$19*(1-Assumptions!$C$20)^15</f>
        <v>1084.17275972182</v>
      </c>
      <c r="T10" s="24" t="n">
        <f aca="false">Assumptions!$C$19*(1-Assumptions!$C$20)^16</f>
        <v>1040.80584933295</v>
      </c>
      <c r="U10" s="24" t="n">
        <f aca="false">Assumptions!$C$19*(1-Assumptions!$C$20)^17</f>
        <v>999.173615359627</v>
      </c>
      <c r="V10" s="24" t="n">
        <f aca="false">Assumptions!$C$19*(1-Assumptions!$C$20)^18</f>
        <v>959.206670745242</v>
      </c>
      <c r="W10" s="24" t="n">
        <f aca="false">Assumptions!$C$19*(1-Assumptions!$C$20)^19</f>
        <v>920.838403915432</v>
      </c>
      <c r="X10" s="24" t="n">
        <f aca="false">Assumptions!$C$19*(1-Assumptions!$C$20)^20</f>
        <v>884.004867758815</v>
      </c>
      <c r="Y10" s="24" t="n">
        <f aca="false">Assumptions!$C$19*(1-Assumptions!$C$20)^21</f>
        <v>848.644673048462</v>
      </c>
      <c r="Z10" s="24" t="n">
        <f aca="false">Assumptions!$C$19*(1-Assumptions!$C$20)^22</f>
        <v>814.698886126524</v>
      </c>
      <c r="AA10" s="24" t="n">
        <f aca="false">Assumptions!$C$19*(1-Assumptions!$C$20)^23</f>
        <v>782.110930681463</v>
      </c>
      <c r="AB10" s="24" t="n">
        <f aca="false">Assumptions!$C$19*(1-Assumptions!$C$20)^24</f>
        <v>750.826493454204</v>
      </c>
      <c r="AC10" s="24" t="n">
        <f aca="false">Assumptions!$C$19*(1-Assumptions!$C$20)^25</f>
        <v>720.793433716036</v>
      </c>
      <c r="AD10" s="24" t="n">
        <f aca="false">Assumptions!$C$19*(1-Assumptions!$C$20)^26</f>
        <v>691.961696367394</v>
      </c>
      <c r="AE10" s="24" t="n">
        <f aca="false">Assumptions!$C$19*(1-Assumptions!$C$20)^27</f>
        <v>664.283228512699</v>
      </c>
      <c r="AF10" s="24" t="n">
        <f aca="false">Assumptions!$C$19*(1-Assumptions!$C$20)^28</f>
        <v>637.711899372191</v>
      </c>
      <c r="AG10" s="24" t="n">
        <f aca="false">Assumptions!$C$19*(1-Assumptions!$C$20)^29</f>
        <v>612.203423397303</v>
      </c>
    </row>
    <row r="11" customFormat="false" ht="15" hidden="false" customHeight="false" outlineLevel="0" collapsed="false">
      <c r="B11" s="11" t="s">
        <v>108</v>
      </c>
      <c r="D11" s="24" t="n">
        <f aca="false">Assumptions!$C$22</f>
        <v>500</v>
      </c>
      <c r="E11" s="24" t="n">
        <f aca="false">Assumptions!$C$22</f>
        <v>500</v>
      </c>
      <c r="F11" s="24" t="n">
        <f aca="false">Assumptions!$C$22</f>
        <v>500</v>
      </c>
      <c r="G11" s="24" t="n">
        <f aca="false">Assumptions!$C$22</f>
        <v>500</v>
      </c>
      <c r="H11" s="24" t="n">
        <f aca="false">Assumptions!$C$22</f>
        <v>500</v>
      </c>
      <c r="I11" s="24" t="n">
        <f aca="false">Assumptions!$C$22</f>
        <v>500</v>
      </c>
      <c r="J11" s="24" t="n">
        <f aca="false">Assumptions!$C$22</f>
        <v>500</v>
      </c>
      <c r="K11" s="24" t="n">
        <f aca="false">Assumptions!$C$22</f>
        <v>500</v>
      </c>
      <c r="L11" s="24" t="n">
        <f aca="false">Assumptions!$C$22</f>
        <v>500</v>
      </c>
      <c r="M11" s="24" t="n">
        <f aca="false">Assumptions!$C$22</f>
        <v>500</v>
      </c>
      <c r="N11" s="24" t="n">
        <f aca="false">Assumptions!$C$22</f>
        <v>500</v>
      </c>
      <c r="O11" s="24" t="n">
        <f aca="false">Assumptions!$C$22</f>
        <v>500</v>
      </c>
      <c r="P11" s="24" t="n">
        <f aca="false">Assumptions!$C$22</f>
        <v>500</v>
      </c>
      <c r="Q11" s="24" t="n">
        <f aca="false">Assumptions!$C$22</f>
        <v>500</v>
      </c>
      <c r="R11" s="24" t="n">
        <f aca="false">Assumptions!$C$22</f>
        <v>500</v>
      </c>
      <c r="S11" s="24" t="n">
        <f aca="false">Assumptions!$C$22</f>
        <v>500</v>
      </c>
      <c r="T11" s="24" t="n">
        <f aca="false">Assumptions!$C$22</f>
        <v>500</v>
      </c>
      <c r="U11" s="24" t="n">
        <f aca="false">Assumptions!$C$22</f>
        <v>500</v>
      </c>
      <c r="V11" s="24" t="n">
        <f aca="false">Assumptions!$C$22</f>
        <v>500</v>
      </c>
      <c r="W11" s="24" t="n">
        <f aca="false">Assumptions!$C$22</f>
        <v>500</v>
      </c>
      <c r="X11" s="24" t="n">
        <f aca="false">Assumptions!$C$22</f>
        <v>500</v>
      </c>
      <c r="Y11" s="24" t="n">
        <f aca="false">Assumptions!$C$22</f>
        <v>500</v>
      </c>
      <c r="Z11" s="24" t="n">
        <f aca="false">Assumptions!$C$22</f>
        <v>500</v>
      </c>
      <c r="AA11" s="24" t="n">
        <f aca="false">Assumptions!$C$22</f>
        <v>500</v>
      </c>
      <c r="AB11" s="24" t="n">
        <f aca="false">Assumptions!$C$22</f>
        <v>500</v>
      </c>
      <c r="AC11" s="24" t="n">
        <f aca="false">Assumptions!$C$22</f>
        <v>500</v>
      </c>
      <c r="AD11" s="24" t="n">
        <f aca="false">Assumptions!$C$22</f>
        <v>500</v>
      </c>
      <c r="AE11" s="24" t="n">
        <f aca="false">Assumptions!$C$22</f>
        <v>500</v>
      </c>
      <c r="AF11" s="24" t="n">
        <f aca="false">Assumptions!$C$22</f>
        <v>500</v>
      </c>
      <c r="AG11" s="24" t="n">
        <f aca="false">Assumptions!$C$22</f>
        <v>500</v>
      </c>
    </row>
    <row r="12" customFormat="false" ht="15" hidden="false" customHeight="false" outlineLevel="0" collapsed="false">
      <c r="B12" s="25" t="s">
        <v>109</v>
      </c>
      <c r="D12" s="26" t="n">
        <f aca="false">SUM(D9:D11)</f>
        <v>8562</v>
      </c>
      <c r="E12" s="26" t="n">
        <f aca="false">SUM(E9:E11)</f>
        <v>8725.54085</v>
      </c>
      <c r="F12" s="26" t="n">
        <f aca="false">SUM(F9:F11)</f>
        <v>8902.06595364875</v>
      </c>
      <c r="G12" s="26" t="n">
        <f aca="false">SUM(G9:G11)</f>
        <v>9091.84039333658</v>
      </c>
      <c r="H12" s="26" t="n">
        <f aca="false">SUM(H9:H11)</f>
        <v>9295.15016353888</v>
      </c>
      <c r="I12" s="26" t="n">
        <f aca="false">SUM(I9:I11)</f>
        <v>9512.30260046305</v>
      </c>
      <c r="J12" s="26" t="n">
        <f aca="false">SUM(J9:J11)</f>
        <v>9743.6268453765</v>
      </c>
      <c r="K12" s="26" t="n">
        <f aca="false">SUM(K9:K11)</f>
        <v>9989.47434231174</v>
      </c>
      <c r="L12" s="26" t="n">
        <f aca="false">SUM(L9:L11)</f>
        <v>10250.2193708995</v>
      </c>
      <c r="M12" s="26" t="n">
        <f aca="false">SUM(M9:M11)</f>
        <v>10526.2596151353</v>
      </c>
      <c r="N12" s="26" t="n">
        <f aca="false">SUM(N9:N11)</f>
        <v>10818.0167689429</v>
      </c>
      <c r="O12" s="26" t="n">
        <f aca="false">SUM(O9:O11)</f>
        <v>11125.9371794539</v>
      </c>
      <c r="P12" s="26" t="n">
        <f aca="false">SUM(P9:P11)</f>
        <v>11450.4925289845</v>
      </c>
      <c r="Q12" s="26" t="n">
        <f aca="false">SUM(Q9:Q11)</f>
        <v>11792.1805567486</v>
      </c>
      <c r="R12" s="26" t="n">
        <f aca="false">SUM(R9:R11)</f>
        <v>12151.5258214117</v>
      </c>
      <c r="S12" s="26" t="n">
        <f aca="false">SUM(S9:S11)</f>
        <v>12529.0805056508</v>
      </c>
      <c r="T12" s="26" t="n">
        <f aca="false">SUM(T9:T11)</f>
        <v>12925.4252639546</v>
      </c>
      <c r="U12" s="26" t="n">
        <f aca="false">SUM(U9:U11)</f>
        <v>13341.1701149637</v>
      </c>
      <c r="V12" s="26" t="n">
        <f aca="false">SUM(V9:V11)</f>
        <v>13776.9553797209</v>
      </c>
      <c r="W12" s="26" t="n">
        <f aca="false">SUM(W9:W11)</f>
        <v>14233.4526672742</v>
      </c>
      <c r="X12" s="26" t="n">
        <f aca="false">SUM(X9:X11)</f>
        <v>14711.365909148</v>
      </c>
      <c r="Y12" s="26" t="n">
        <f aca="false">SUM(Y9:Y11)</f>
        <v>15211.4324442755</v>
      </c>
      <c r="Z12" s="26" t="n">
        <f aca="false">SUM(Z9:Z11)</f>
        <v>15734.4241560626</v>
      </c>
      <c r="AA12" s="26" t="n">
        <f aca="false">SUM(AA9:AA11)</f>
        <v>16281.1486633372</v>
      </c>
      <c r="AB12" s="26" t="n">
        <f aca="false">SUM(AB9:AB11)</f>
        <v>16852.4505670194</v>
      </c>
      <c r="AC12" s="26" t="n">
        <f aca="false">SUM(AC9:AC11)</f>
        <v>17449.2127544367</v>
      </c>
      <c r="AD12" s="26" t="n">
        <f aca="false">SUM(AD9:AD11)</f>
        <v>18072.357763298</v>
      </c>
      <c r="AE12" s="26" t="n">
        <f aca="false">SUM(AE9:AE11)</f>
        <v>18722.8492074322</v>
      </c>
      <c r="AF12" s="26" t="n">
        <f aca="false">SUM(AF9:AF11)</f>
        <v>19401.6932664948</v>
      </c>
      <c r="AG12" s="26" t="n">
        <f aca="false">SUM(AG9:AG11)</f>
        <v>20109.9402419441</v>
      </c>
    </row>
    <row r="14" customFormat="false" ht="15" hidden="false" customHeight="false" outlineLevel="0" collapsed="false">
      <c r="B14" s="2" t="s">
        <v>110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customFormat="false" ht="15" hidden="false" customHeight="false" outlineLevel="0" collapsed="false">
      <c r="B15" s="11" t="s">
        <v>53</v>
      </c>
      <c r="D15" s="24" t="n">
        <f aca="false">Assumptions!$C$24*(1+Assumptions!$C$32)^0</f>
        <v>4500</v>
      </c>
      <c r="E15" s="24" t="n">
        <f aca="false">Assumptions!$C$24*(1+Assumptions!$C$32)^1</f>
        <v>4518</v>
      </c>
      <c r="F15" s="24" t="n">
        <f aca="false">Assumptions!$C$24*(1+Assumptions!$C$32)^2</f>
        <v>4536.072</v>
      </c>
      <c r="G15" s="24" t="n">
        <f aca="false">Assumptions!$C$24*(1+Assumptions!$C$32)^3</f>
        <v>4554.216288</v>
      </c>
      <c r="H15" s="24" t="n">
        <f aca="false">Assumptions!$C$24*(1+Assumptions!$C$32)^4</f>
        <v>4572.433153152</v>
      </c>
      <c r="I15" s="24" t="n">
        <f aca="false">Assumptions!$C$24*(1+Assumptions!$C$32)^5</f>
        <v>4590.72288576461</v>
      </c>
      <c r="J15" s="24" t="n">
        <f aca="false">Assumptions!$C$24*(1+Assumptions!$C$32)^6</f>
        <v>4609.08577730767</v>
      </c>
      <c r="K15" s="24" t="n">
        <f aca="false">Assumptions!$C$24*(1+Assumptions!$C$32)^7</f>
        <v>4627.5221204169</v>
      </c>
      <c r="L15" s="24" t="n">
        <f aca="false">Assumptions!$C$24*(1+Assumptions!$C$32)^8</f>
        <v>4646.03220889857</v>
      </c>
      <c r="M15" s="24" t="n">
        <f aca="false">Assumptions!$C$24*(1+Assumptions!$C$32)^9</f>
        <v>4664.61633773416</v>
      </c>
      <c r="N15" s="24" t="n">
        <f aca="false">Assumptions!$C$24*(1+Assumptions!$C$32)^10</f>
        <v>4683.2748030851</v>
      </c>
      <c r="O15" s="24" t="n">
        <f aca="false">Assumptions!$C$24*(1+Assumptions!$C$32)^11</f>
        <v>4702.00790229744</v>
      </c>
      <c r="P15" s="24" t="n">
        <f aca="false">Assumptions!$C$24*(1+Assumptions!$C$32)^12</f>
        <v>4720.81593390663</v>
      </c>
      <c r="Q15" s="24" t="n">
        <f aca="false">Assumptions!$C$24*(1+Assumptions!$C$32)^13</f>
        <v>4739.69919764225</v>
      </c>
      <c r="R15" s="24" t="n">
        <f aca="false">Assumptions!$C$24*(1+Assumptions!$C$32)^14</f>
        <v>4758.65799443282</v>
      </c>
      <c r="S15" s="24" t="n">
        <f aca="false">Assumptions!$C$24*(1+Assumptions!$C$32)^15</f>
        <v>4777.69262641055</v>
      </c>
      <c r="T15" s="24" t="n">
        <f aca="false">Assumptions!$C$24*(1+Assumptions!$C$32)^16</f>
        <v>4796.8033969162</v>
      </c>
      <c r="U15" s="24" t="n">
        <f aca="false">Assumptions!$C$24*(1+Assumptions!$C$32)^17</f>
        <v>4815.99061050386</v>
      </c>
      <c r="V15" s="24" t="n">
        <f aca="false">Assumptions!$C$24*(1+Assumptions!$C$32)^18</f>
        <v>4835.25457294588</v>
      </c>
      <c r="W15" s="24" t="n">
        <f aca="false">Assumptions!$C$24*(1+Assumptions!$C$32)^19</f>
        <v>4854.59559123766</v>
      </c>
      <c r="X15" s="24" t="n">
        <f aca="false">Assumptions!$C$24*(1+Assumptions!$C$32)^20</f>
        <v>4874.01397360261</v>
      </c>
      <c r="Y15" s="24" t="n">
        <f aca="false">Assumptions!$C$24*(1+Assumptions!$C$32)^21</f>
        <v>4893.51002949702</v>
      </c>
      <c r="Z15" s="24" t="n">
        <f aca="false">Assumptions!$C$24*(1+Assumptions!$C$32)^22</f>
        <v>4913.08406961501</v>
      </c>
      <c r="AA15" s="24" t="n">
        <f aca="false">Assumptions!$C$24*(1+Assumptions!$C$32)^23</f>
        <v>4932.73640589347</v>
      </c>
      <c r="AB15" s="24" t="n">
        <f aca="false">Assumptions!$C$24*(1+Assumptions!$C$32)^24</f>
        <v>4952.46735151704</v>
      </c>
      <c r="AC15" s="24" t="n">
        <f aca="false">Assumptions!$C$24*(1+Assumptions!$C$32)^25</f>
        <v>4972.27722092311</v>
      </c>
      <c r="AD15" s="24" t="n">
        <f aca="false">Assumptions!$C$24*(1+Assumptions!$C$32)^26</f>
        <v>4992.1663298068</v>
      </c>
      <c r="AE15" s="24" t="n">
        <f aca="false">Assumptions!$C$24*(1+Assumptions!$C$32)^27</f>
        <v>5012.13499512603</v>
      </c>
      <c r="AF15" s="24" t="n">
        <f aca="false">Assumptions!$C$24*(1+Assumptions!$C$32)^28</f>
        <v>5032.18353510653</v>
      </c>
      <c r="AG15" s="24" t="n">
        <f aca="false">Assumptions!$C$24*(1+Assumptions!$C$32)^29</f>
        <v>5052.31226924696</v>
      </c>
    </row>
    <row r="16" customFormat="false" ht="15" hidden="false" customHeight="false" outlineLevel="0" collapsed="false">
      <c r="B16" s="11" t="s">
        <v>55</v>
      </c>
      <c r="D16" s="24" t="n">
        <f aca="false">Assumptions!$C$25*(1+Assumptions!$C$32)^0</f>
        <v>1500</v>
      </c>
      <c r="E16" s="24" t="n">
        <f aca="false">Assumptions!$C$25*(1+Assumptions!$C$32)^1</f>
        <v>1506</v>
      </c>
      <c r="F16" s="24" t="n">
        <f aca="false">Assumptions!$C$25*(1+Assumptions!$C$32)^2</f>
        <v>1512.024</v>
      </c>
      <c r="G16" s="24" t="n">
        <f aca="false">Assumptions!$C$25*(1+Assumptions!$C$32)^3</f>
        <v>1518.072096</v>
      </c>
      <c r="H16" s="24" t="n">
        <f aca="false">Assumptions!$C$25*(1+Assumptions!$C$32)^4</f>
        <v>1524.144384384</v>
      </c>
      <c r="I16" s="24" t="n">
        <f aca="false">Assumptions!$C$25*(1+Assumptions!$C$32)^5</f>
        <v>1530.24096192154</v>
      </c>
      <c r="J16" s="24" t="n">
        <f aca="false">Assumptions!$C$25*(1+Assumptions!$C$32)^6</f>
        <v>1536.36192576922</v>
      </c>
      <c r="K16" s="24" t="n">
        <f aca="false">Assumptions!$C$25*(1+Assumptions!$C$32)^7</f>
        <v>1542.5073734723</v>
      </c>
      <c r="L16" s="24" t="n">
        <f aca="false">Assumptions!$C$25*(1+Assumptions!$C$32)^8</f>
        <v>1548.67740296619</v>
      </c>
      <c r="M16" s="24" t="n">
        <f aca="false">Assumptions!$C$25*(1+Assumptions!$C$32)^9</f>
        <v>1554.87211257805</v>
      </c>
      <c r="N16" s="24" t="n">
        <f aca="false">Assumptions!$C$25*(1+Assumptions!$C$32)^10</f>
        <v>1561.09160102837</v>
      </c>
      <c r="O16" s="24" t="n">
        <f aca="false">Assumptions!$C$25*(1+Assumptions!$C$32)^11</f>
        <v>1567.33596743248</v>
      </c>
      <c r="P16" s="24" t="n">
        <f aca="false">Assumptions!$C$25*(1+Assumptions!$C$32)^12</f>
        <v>1573.60531130221</v>
      </c>
      <c r="Q16" s="24" t="n">
        <f aca="false">Assumptions!$C$25*(1+Assumptions!$C$32)^13</f>
        <v>1579.89973254742</v>
      </c>
      <c r="R16" s="24" t="n">
        <f aca="false">Assumptions!$C$25*(1+Assumptions!$C$32)^14</f>
        <v>1586.21933147761</v>
      </c>
      <c r="S16" s="24" t="n">
        <f aca="false">Assumptions!$C$25*(1+Assumptions!$C$32)^15</f>
        <v>1592.56420880352</v>
      </c>
      <c r="T16" s="24" t="n">
        <f aca="false">Assumptions!$C$25*(1+Assumptions!$C$32)^16</f>
        <v>1598.93446563873</v>
      </c>
      <c r="U16" s="24" t="n">
        <f aca="false">Assumptions!$C$25*(1+Assumptions!$C$32)^17</f>
        <v>1605.33020350129</v>
      </c>
      <c r="V16" s="24" t="n">
        <f aca="false">Assumptions!$C$25*(1+Assumptions!$C$32)^18</f>
        <v>1611.75152431529</v>
      </c>
      <c r="W16" s="24" t="n">
        <f aca="false">Assumptions!$C$25*(1+Assumptions!$C$32)^19</f>
        <v>1618.19853041255</v>
      </c>
      <c r="X16" s="24" t="n">
        <f aca="false">Assumptions!$C$25*(1+Assumptions!$C$32)^20</f>
        <v>1624.6713245342</v>
      </c>
      <c r="Y16" s="24" t="n">
        <f aca="false">Assumptions!$C$25*(1+Assumptions!$C$32)^21</f>
        <v>1631.17000983234</v>
      </c>
      <c r="Z16" s="24" t="n">
        <f aca="false">Assumptions!$C$25*(1+Assumptions!$C$32)^22</f>
        <v>1637.69468987167</v>
      </c>
      <c r="AA16" s="24" t="n">
        <f aca="false">Assumptions!$C$25*(1+Assumptions!$C$32)^23</f>
        <v>1644.24546863116</v>
      </c>
      <c r="AB16" s="24" t="n">
        <f aca="false">Assumptions!$C$25*(1+Assumptions!$C$32)^24</f>
        <v>1650.82245050568</v>
      </c>
      <c r="AC16" s="24" t="n">
        <f aca="false">Assumptions!$C$25*(1+Assumptions!$C$32)^25</f>
        <v>1657.4257403077</v>
      </c>
      <c r="AD16" s="24" t="n">
        <f aca="false">Assumptions!$C$25*(1+Assumptions!$C$32)^26</f>
        <v>1664.05544326893</v>
      </c>
      <c r="AE16" s="24" t="n">
        <f aca="false">Assumptions!$C$25*(1+Assumptions!$C$32)^27</f>
        <v>1670.71166504201</v>
      </c>
      <c r="AF16" s="24" t="n">
        <f aca="false">Assumptions!$C$25*(1+Assumptions!$C$32)^28</f>
        <v>1677.39451170218</v>
      </c>
      <c r="AG16" s="24" t="n">
        <f aca="false">Assumptions!$C$25*(1+Assumptions!$C$32)^29</f>
        <v>1684.10408974899</v>
      </c>
    </row>
    <row r="17" customFormat="false" ht="15" hidden="false" customHeight="false" outlineLevel="0" collapsed="false">
      <c r="B17" s="11" t="s">
        <v>57</v>
      </c>
      <c r="D17" s="24" t="n">
        <f aca="false">Assumptions!$C$26*(1+Assumptions!$C$32)^0</f>
        <v>250</v>
      </c>
      <c r="E17" s="24" t="n">
        <f aca="false">Assumptions!$C$26*(1+Assumptions!$C$32)^1</f>
        <v>251</v>
      </c>
      <c r="F17" s="24" t="n">
        <f aca="false">Assumptions!$C$26*(1+Assumptions!$C$32)^2</f>
        <v>252.004</v>
      </c>
      <c r="G17" s="24" t="n">
        <f aca="false">Assumptions!$C$26*(1+Assumptions!$C$32)^3</f>
        <v>253.012016</v>
      </c>
      <c r="H17" s="24" t="n">
        <f aca="false">Assumptions!$C$26*(1+Assumptions!$C$32)^4</f>
        <v>254.024064064</v>
      </c>
      <c r="I17" s="24" t="n">
        <f aca="false">Assumptions!$C$26*(1+Assumptions!$C$32)^5</f>
        <v>255.040160320256</v>
      </c>
      <c r="J17" s="24" t="n">
        <f aca="false">Assumptions!$C$26*(1+Assumptions!$C$32)^6</f>
        <v>256.060320961537</v>
      </c>
      <c r="K17" s="24" t="n">
        <f aca="false">Assumptions!$C$26*(1+Assumptions!$C$32)^7</f>
        <v>257.084562245383</v>
      </c>
      <c r="L17" s="24" t="n">
        <f aca="false">Assumptions!$C$26*(1+Assumptions!$C$32)^8</f>
        <v>258.112900494365</v>
      </c>
      <c r="M17" s="24" t="n">
        <f aca="false">Assumptions!$C$26*(1+Assumptions!$C$32)^9</f>
        <v>259.145352096342</v>
      </c>
      <c r="N17" s="24" t="n">
        <f aca="false">Assumptions!$C$26*(1+Assumptions!$C$32)^10</f>
        <v>260.181933504728</v>
      </c>
      <c r="O17" s="24" t="n">
        <f aca="false">Assumptions!$C$26*(1+Assumptions!$C$32)^11</f>
        <v>261.222661238746</v>
      </c>
      <c r="P17" s="24" t="n">
        <f aca="false">Assumptions!$C$26*(1+Assumptions!$C$32)^12</f>
        <v>262.267551883701</v>
      </c>
      <c r="Q17" s="24" t="n">
        <f aca="false">Assumptions!$C$26*(1+Assumptions!$C$32)^13</f>
        <v>263.316622091236</v>
      </c>
      <c r="R17" s="24" t="n">
        <f aca="false">Assumptions!$C$26*(1+Assumptions!$C$32)^14</f>
        <v>264.369888579601</v>
      </c>
      <c r="S17" s="24" t="n">
        <f aca="false">Assumptions!$C$26*(1+Assumptions!$C$32)^15</f>
        <v>265.42736813392</v>
      </c>
      <c r="T17" s="24" t="n">
        <f aca="false">Assumptions!$C$26*(1+Assumptions!$C$32)^16</f>
        <v>266.489077606455</v>
      </c>
      <c r="U17" s="24" t="n">
        <f aca="false">Assumptions!$C$26*(1+Assumptions!$C$32)^17</f>
        <v>267.555033916881</v>
      </c>
      <c r="V17" s="24" t="n">
        <f aca="false">Assumptions!$C$26*(1+Assumptions!$C$32)^18</f>
        <v>268.625254052549</v>
      </c>
      <c r="W17" s="24" t="n">
        <f aca="false">Assumptions!$C$26*(1+Assumptions!$C$32)^19</f>
        <v>269.699755068759</v>
      </c>
      <c r="X17" s="24" t="n">
        <f aca="false">Assumptions!$C$26*(1+Assumptions!$C$32)^20</f>
        <v>270.778554089034</v>
      </c>
      <c r="Y17" s="24" t="n">
        <f aca="false">Assumptions!$C$26*(1+Assumptions!$C$32)^21</f>
        <v>271.86166830539</v>
      </c>
      <c r="Z17" s="24" t="n">
        <f aca="false">Assumptions!$C$26*(1+Assumptions!$C$32)^22</f>
        <v>272.949114978612</v>
      </c>
      <c r="AA17" s="24" t="n">
        <f aca="false">Assumptions!$C$26*(1+Assumptions!$C$32)^23</f>
        <v>274.040911438526</v>
      </c>
      <c r="AB17" s="24" t="n">
        <f aca="false">Assumptions!$C$26*(1+Assumptions!$C$32)^24</f>
        <v>275.13707508428</v>
      </c>
      <c r="AC17" s="24" t="n">
        <f aca="false">Assumptions!$C$26*(1+Assumptions!$C$32)^25</f>
        <v>276.237623384617</v>
      </c>
      <c r="AD17" s="24" t="n">
        <f aca="false">Assumptions!$C$26*(1+Assumptions!$C$32)^26</f>
        <v>277.342573878156</v>
      </c>
      <c r="AE17" s="24" t="n">
        <f aca="false">Assumptions!$C$26*(1+Assumptions!$C$32)^27</f>
        <v>278.451944173668</v>
      </c>
      <c r="AF17" s="24" t="n">
        <f aca="false">Assumptions!$C$26*(1+Assumptions!$C$32)^28</f>
        <v>279.565751950363</v>
      </c>
      <c r="AG17" s="24" t="n">
        <f aca="false">Assumptions!$C$26*(1+Assumptions!$C$32)^29</f>
        <v>280.684014958165</v>
      </c>
    </row>
    <row r="18" customFormat="false" ht="15" hidden="false" customHeight="false" outlineLevel="0" collapsed="false">
      <c r="B18" s="11" t="s">
        <v>59</v>
      </c>
      <c r="D18" s="24" t="n">
        <f aca="false">Assumptions!$C$27*(1+Assumptions!$C$32)^0</f>
        <v>300</v>
      </c>
      <c r="E18" s="24" t="n">
        <f aca="false">Assumptions!$C$27*(1+Assumptions!$C$32)^1</f>
        <v>301.2</v>
      </c>
      <c r="F18" s="24" t="n">
        <f aca="false">Assumptions!$C$27*(1+Assumptions!$C$32)^2</f>
        <v>302.4048</v>
      </c>
      <c r="G18" s="24" t="n">
        <f aca="false">Assumptions!$C$27*(1+Assumptions!$C$32)^3</f>
        <v>303.6144192</v>
      </c>
      <c r="H18" s="24" t="n">
        <f aca="false">Assumptions!$C$27*(1+Assumptions!$C$32)^4</f>
        <v>304.8288768768</v>
      </c>
      <c r="I18" s="24" t="n">
        <f aca="false">Assumptions!$C$27*(1+Assumptions!$C$32)^5</f>
        <v>306.048192384307</v>
      </c>
      <c r="J18" s="24" t="n">
        <f aca="false">Assumptions!$C$27*(1+Assumptions!$C$32)^6</f>
        <v>307.272385153844</v>
      </c>
      <c r="K18" s="24" t="n">
        <f aca="false">Assumptions!$C$27*(1+Assumptions!$C$32)^7</f>
        <v>308.50147469446</v>
      </c>
      <c r="L18" s="24" t="n">
        <f aca="false">Assumptions!$C$27*(1+Assumptions!$C$32)^8</f>
        <v>309.735480593238</v>
      </c>
      <c r="M18" s="24" t="n">
        <f aca="false">Assumptions!$C$27*(1+Assumptions!$C$32)^9</f>
        <v>310.974422515611</v>
      </c>
      <c r="N18" s="24" t="n">
        <f aca="false">Assumptions!$C$27*(1+Assumptions!$C$32)^10</f>
        <v>312.218320205673</v>
      </c>
      <c r="O18" s="24" t="n">
        <f aca="false">Assumptions!$C$27*(1+Assumptions!$C$32)^11</f>
        <v>313.467193486496</v>
      </c>
      <c r="P18" s="24" t="n">
        <f aca="false">Assumptions!$C$27*(1+Assumptions!$C$32)^12</f>
        <v>314.721062260442</v>
      </c>
      <c r="Q18" s="24" t="n">
        <f aca="false">Assumptions!$C$27*(1+Assumptions!$C$32)^13</f>
        <v>315.979946509484</v>
      </c>
      <c r="R18" s="24" t="n">
        <f aca="false">Assumptions!$C$27*(1+Assumptions!$C$32)^14</f>
        <v>317.243866295521</v>
      </c>
      <c r="S18" s="24" t="n">
        <f aca="false">Assumptions!$C$27*(1+Assumptions!$C$32)^15</f>
        <v>318.512841760704</v>
      </c>
      <c r="T18" s="24" t="n">
        <f aca="false">Assumptions!$C$27*(1+Assumptions!$C$32)^16</f>
        <v>319.786893127746</v>
      </c>
      <c r="U18" s="24" t="n">
        <f aca="false">Assumptions!$C$27*(1+Assumptions!$C$32)^17</f>
        <v>321.066040700257</v>
      </c>
      <c r="V18" s="24" t="n">
        <f aca="false">Assumptions!$C$27*(1+Assumptions!$C$32)^18</f>
        <v>322.350304863058</v>
      </c>
      <c r="W18" s="24" t="n">
        <f aca="false">Assumptions!$C$27*(1+Assumptions!$C$32)^19</f>
        <v>323.639706082511</v>
      </c>
      <c r="X18" s="24" t="n">
        <f aca="false">Assumptions!$C$27*(1+Assumptions!$C$32)^20</f>
        <v>324.934264906841</v>
      </c>
      <c r="Y18" s="24" t="n">
        <f aca="false">Assumptions!$C$27*(1+Assumptions!$C$32)^21</f>
        <v>326.234001966468</v>
      </c>
      <c r="Z18" s="24" t="n">
        <f aca="false">Assumptions!$C$27*(1+Assumptions!$C$32)^22</f>
        <v>327.538937974334</v>
      </c>
      <c r="AA18" s="24" t="n">
        <f aca="false">Assumptions!$C$27*(1+Assumptions!$C$32)^23</f>
        <v>328.849093726231</v>
      </c>
      <c r="AB18" s="24" t="n">
        <f aca="false">Assumptions!$C$27*(1+Assumptions!$C$32)^24</f>
        <v>330.164490101136</v>
      </c>
      <c r="AC18" s="24" t="n">
        <f aca="false">Assumptions!$C$27*(1+Assumptions!$C$32)^25</f>
        <v>331.485148061541</v>
      </c>
      <c r="AD18" s="24" t="n">
        <f aca="false">Assumptions!$C$27*(1+Assumptions!$C$32)^26</f>
        <v>332.811088653787</v>
      </c>
      <c r="AE18" s="24" t="n">
        <f aca="false">Assumptions!$C$27*(1+Assumptions!$C$32)^27</f>
        <v>334.142333008402</v>
      </c>
      <c r="AF18" s="24" t="n">
        <f aca="false">Assumptions!$C$27*(1+Assumptions!$C$32)^28</f>
        <v>335.478902340436</v>
      </c>
      <c r="AG18" s="24" t="n">
        <f aca="false">Assumptions!$C$27*(1+Assumptions!$C$32)^29</f>
        <v>336.820817949797</v>
      </c>
    </row>
    <row r="19" customFormat="false" ht="15" hidden="false" customHeight="false" outlineLevel="0" collapsed="false">
      <c r="B19" s="11" t="s">
        <v>61</v>
      </c>
      <c r="D19" s="24" t="n">
        <f aca="false">Assumptions!$C$28*(1+Assumptions!$C$32)^0</f>
        <v>600</v>
      </c>
      <c r="E19" s="24" t="n">
        <f aca="false">Assumptions!$C$28*(1+Assumptions!$C$32)^1</f>
        <v>602.4</v>
      </c>
      <c r="F19" s="24" t="n">
        <f aca="false">Assumptions!$C$28*(1+Assumptions!$C$32)^2</f>
        <v>604.8096</v>
      </c>
      <c r="G19" s="24" t="n">
        <f aca="false">Assumptions!$C$28*(1+Assumptions!$C$32)^3</f>
        <v>607.2288384</v>
      </c>
      <c r="H19" s="24" t="n">
        <f aca="false">Assumptions!$C$28*(1+Assumptions!$C$32)^4</f>
        <v>609.6577537536</v>
      </c>
      <c r="I19" s="24" t="n">
        <f aca="false">Assumptions!$C$28*(1+Assumptions!$C$32)^5</f>
        <v>612.096384768614</v>
      </c>
      <c r="J19" s="24" t="n">
        <f aca="false">Assumptions!$C$28*(1+Assumptions!$C$32)^6</f>
        <v>614.544770307689</v>
      </c>
      <c r="K19" s="24" t="n">
        <f aca="false">Assumptions!$C$28*(1+Assumptions!$C$32)^7</f>
        <v>617.00294938892</v>
      </c>
      <c r="L19" s="24" t="n">
        <f aca="false">Assumptions!$C$28*(1+Assumptions!$C$32)^8</f>
        <v>619.470961186475</v>
      </c>
      <c r="M19" s="24" t="n">
        <f aca="false">Assumptions!$C$28*(1+Assumptions!$C$32)^9</f>
        <v>621.948845031221</v>
      </c>
      <c r="N19" s="24" t="n">
        <f aca="false">Assumptions!$C$28*(1+Assumptions!$C$32)^10</f>
        <v>624.436640411346</v>
      </c>
      <c r="O19" s="24" t="n">
        <f aca="false">Assumptions!$C$28*(1+Assumptions!$C$32)^11</f>
        <v>626.934386972991</v>
      </c>
      <c r="P19" s="24" t="n">
        <f aca="false">Assumptions!$C$28*(1+Assumptions!$C$32)^12</f>
        <v>629.442124520884</v>
      </c>
      <c r="Q19" s="24" t="n">
        <f aca="false">Assumptions!$C$28*(1+Assumptions!$C$32)^13</f>
        <v>631.959893018967</v>
      </c>
      <c r="R19" s="24" t="n">
        <f aca="false">Assumptions!$C$28*(1+Assumptions!$C$32)^14</f>
        <v>634.487732591043</v>
      </c>
      <c r="S19" s="24" t="n">
        <f aca="false">Assumptions!$C$28*(1+Assumptions!$C$32)^15</f>
        <v>637.025683521407</v>
      </c>
      <c r="T19" s="24" t="n">
        <f aca="false">Assumptions!$C$28*(1+Assumptions!$C$32)^16</f>
        <v>639.573786255493</v>
      </c>
      <c r="U19" s="24" t="n">
        <f aca="false">Assumptions!$C$28*(1+Assumptions!$C$32)^17</f>
        <v>642.132081400515</v>
      </c>
      <c r="V19" s="24" t="n">
        <f aca="false">Assumptions!$C$28*(1+Assumptions!$C$32)^18</f>
        <v>644.700609726117</v>
      </c>
      <c r="W19" s="24" t="n">
        <f aca="false">Assumptions!$C$28*(1+Assumptions!$C$32)^19</f>
        <v>647.279412165021</v>
      </c>
      <c r="X19" s="24" t="n">
        <f aca="false">Assumptions!$C$28*(1+Assumptions!$C$32)^20</f>
        <v>649.868529813681</v>
      </c>
      <c r="Y19" s="24" t="n">
        <f aca="false">Assumptions!$C$28*(1+Assumptions!$C$32)^21</f>
        <v>652.468003932936</v>
      </c>
      <c r="Z19" s="24" t="n">
        <f aca="false">Assumptions!$C$28*(1+Assumptions!$C$32)^22</f>
        <v>655.077875948668</v>
      </c>
      <c r="AA19" s="24" t="n">
        <f aca="false">Assumptions!$C$28*(1+Assumptions!$C$32)^23</f>
        <v>657.698187452462</v>
      </c>
      <c r="AB19" s="24" t="n">
        <f aca="false">Assumptions!$C$28*(1+Assumptions!$C$32)^24</f>
        <v>660.328980202272</v>
      </c>
      <c r="AC19" s="24" t="n">
        <f aca="false">Assumptions!$C$28*(1+Assumptions!$C$32)^25</f>
        <v>662.970296123081</v>
      </c>
      <c r="AD19" s="24" t="n">
        <f aca="false">Assumptions!$C$28*(1+Assumptions!$C$32)^26</f>
        <v>665.622177307574</v>
      </c>
      <c r="AE19" s="24" t="n">
        <f aca="false">Assumptions!$C$28*(1+Assumptions!$C$32)^27</f>
        <v>668.284666016804</v>
      </c>
      <c r="AF19" s="24" t="n">
        <f aca="false">Assumptions!$C$28*(1+Assumptions!$C$32)^28</f>
        <v>670.957804680871</v>
      </c>
      <c r="AG19" s="24" t="n">
        <f aca="false">Assumptions!$C$28*(1+Assumptions!$C$32)^29</f>
        <v>673.641635899595</v>
      </c>
    </row>
    <row r="20" customFormat="false" ht="15" hidden="false" customHeight="false" outlineLevel="0" collapsed="false">
      <c r="B20" s="11" t="s">
        <v>63</v>
      </c>
      <c r="D20" s="24" t="n">
        <f aca="false">Assumptions!$C$29*(1+Assumptions!$C$32)^0</f>
        <v>200</v>
      </c>
      <c r="E20" s="24" t="n">
        <f aca="false">Assumptions!$C$29*(1+Assumptions!$C$32)^1</f>
        <v>200.8</v>
      </c>
      <c r="F20" s="24" t="n">
        <f aca="false">Assumptions!$C$29*(1+Assumptions!$C$32)^2</f>
        <v>201.6032</v>
      </c>
      <c r="G20" s="24" t="n">
        <f aca="false">Assumptions!$C$29*(1+Assumptions!$C$32)^3</f>
        <v>202.4096128</v>
      </c>
      <c r="H20" s="24" t="n">
        <f aca="false">Assumptions!$C$29*(1+Assumptions!$C$32)^4</f>
        <v>203.2192512512</v>
      </c>
      <c r="I20" s="24" t="n">
        <f aca="false">Assumptions!$C$29*(1+Assumptions!$C$32)^5</f>
        <v>204.032128256205</v>
      </c>
      <c r="J20" s="24" t="n">
        <f aca="false">Assumptions!$C$29*(1+Assumptions!$C$32)^6</f>
        <v>204.84825676923</v>
      </c>
      <c r="K20" s="24" t="n">
        <f aca="false">Assumptions!$C$29*(1+Assumptions!$C$32)^7</f>
        <v>205.667649796307</v>
      </c>
      <c r="L20" s="24" t="n">
        <f aca="false">Assumptions!$C$29*(1+Assumptions!$C$32)^8</f>
        <v>206.490320395492</v>
      </c>
      <c r="M20" s="24" t="n">
        <f aca="false">Assumptions!$C$29*(1+Assumptions!$C$32)^9</f>
        <v>207.316281677074</v>
      </c>
      <c r="N20" s="24" t="n">
        <f aca="false">Assumptions!$C$29*(1+Assumptions!$C$32)^10</f>
        <v>208.145546803782</v>
      </c>
      <c r="O20" s="24" t="n">
        <f aca="false">Assumptions!$C$29*(1+Assumptions!$C$32)^11</f>
        <v>208.978128990997</v>
      </c>
      <c r="P20" s="24" t="n">
        <f aca="false">Assumptions!$C$29*(1+Assumptions!$C$32)^12</f>
        <v>209.814041506961</v>
      </c>
      <c r="Q20" s="24" t="n">
        <f aca="false">Assumptions!$C$29*(1+Assumptions!$C$32)^13</f>
        <v>210.653297672989</v>
      </c>
      <c r="R20" s="24" t="n">
        <f aca="false">Assumptions!$C$29*(1+Assumptions!$C$32)^14</f>
        <v>211.495910863681</v>
      </c>
      <c r="S20" s="24" t="n">
        <f aca="false">Assumptions!$C$29*(1+Assumptions!$C$32)^15</f>
        <v>212.341894507136</v>
      </c>
      <c r="T20" s="24" t="n">
        <f aca="false">Assumptions!$C$29*(1+Assumptions!$C$32)^16</f>
        <v>213.191262085164</v>
      </c>
      <c r="U20" s="24" t="n">
        <f aca="false">Assumptions!$C$29*(1+Assumptions!$C$32)^17</f>
        <v>214.044027133505</v>
      </c>
      <c r="V20" s="24" t="n">
        <f aca="false">Assumptions!$C$29*(1+Assumptions!$C$32)^18</f>
        <v>214.900203242039</v>
      </c>
      <c r="W20" s="24" t="n">
        <f aca="false">Assumptions!$C$29*(1+Assumptions!$C$32)^19</f>
        <v>215.759804055007</v>
      </c>
      <c r="X20" s="24" t="n">
        <f aca="false">Assumptions!$C$29*(1+Assumptions!$C$32)^20</f>
        <v>216.622843271227</v>
      </c>
      <c r="Y20" s="24" t="n">
        <f aca="false">Assumptions!$C$29*(1+Assumptions!$C$32)^21</f>
        <v>217.489334644312</v>
      </c>
      <c r="Z20" s="24" t="n">
        <f aca="false">Assumptions!$C$29*(1+Assumptions!$C$32)^22</f>
        <v>218.359291982889</v>
      </c>
      <c r="AA20" s="24" t="n">
        <f aca="false">Assumptions!$C$29*(1+Assumptions!$C$32)^23</f>
        <v>219.232729150821</v>
      </c>
      <c r="AB20" s="24" t="n">
        <f aca="false">Assumptions!$C$29*(1+Assumptions!$C$32)^24</f>
        <v>220.109660067424</v>
      </c>
      <c r="AC20" s="24" t="n">
        <f aca="false">Assumptions!$C$29*(1+Assumptions!$C$32)^25</f>
        <v>220.990098707694</v>
      </c>
      <c r="AD20" s="24" t="n">
        <f aca="false">Assumptions!$C$29*(1+Assumptions!$C$32)^26</f>
        <v>221.874059102525</v>
      </c>
      <c r="AE20" s="24" t="n">
        <f aca="false">Assumptions!$C$29*(1+Assumptions!$C$32)^27</f>
        <v>222.761555338935</v>
      </c>
      <c r="AF20" s="24" t="n">
        <f aca="false">Assumptions!$C$29*(1+Assumptions!$C$32)^28</f>
        <v>223.65260156029</v>
      </c>
      <c r="AG20" s="24" t="n">
        <f aca="false">Assumptions!$C$29*(1+Assumptions!$C$32)^29</f>
        <v>224.547211966532</v>
      </c>
    </row>
    <row r="21" customFormat="false" ht="15" hidden="false" customHeight="false" outlineLevel="0" collapsed="false">
      <c r="B21" s="11" t="s">
        <v>65</v>
      </c>
      <c r="D21" s="24" t="n">
        <f aca="false">Assumptions!$C$30*(1+Assumptions!$C$32)^0</f>
        <v>350</v>
      </c>
      <c r="E21" s="24" t="n">
        <f aca="false">Assumptions!$C$30*(1+Assumptions!$C$32)^1</f>
        <v>351.4</v>
      </c>
      <c r="F21" s="24" t="n">
        <f aca="false">Assumptions!$C$30*(1+Assumptions!$C$32)^2</f>
        <v>352.8056</v>
      </c>
      <c r="G21" s="24" t="n">
        <f aca="false">Assumptions!$C$30*(1+Assumptions!$C$32)^3</f>
        <v>354.2168224</v>
      </c>
      <c r="H21" s="24" t="n">
        <f aca="false">Assumptions!$C$30*(1+Assumptions!$C$32)^4</f>
        <v>355.6336896896</v>
      </c>
      <c r="I21" s="24" t="n">
        <f aca="false">Assumptions!$C$30*(1+Assumptions!$C$32)^5</f>
        <v>357.056224448358</v>
      </c>
      <c r="J21" s="24" t="n">
        <f aca="false">Assumptions!$C$30*(1+Assumptions!$C$32)^6</f>
        <v>358.484449346152</v>
      </c>
      <c r="K21" s="24" t="n">
        <f aca="false">Assumptions!$C$30*(1+Assumptions!$C$32)^7</f>
        <v>359.918387143536</v>
      </c>
      <c r="L21" s="24" t="n">
        <f aca="false">Assumptions!$C$30*(1+Assumptions!$C$32)^8</f>
        <v>361.358060692111</v>
      </c>
      <c r="M21" s="24" t="n">
        <f aca="false">Assumptions!$C$30*(1+Assumptions!$C$32)^9</f>
        <v>362.803492934879</v>
      </c>
      <c r="N21" s="24" t="n">
        <f aca="false">Assumptions!$C$30*(1+Assumptions!$C$32)^10</f>
        <v>364.254706906619</v>
      </c>
      <c r="O21" s="24" t="n">
        <f aca="false">Assumptions!$C$30*(1+Assumptions!$C$32)^11</f>
        <v>365.711725734245</v>
      </c>
      <c r="P21" s="24" t="n">
        <f aca="false">Assumptions!$C$30*(1+Assumptions!$C$32)^12</f>
        <v>367.174572637182</v>
      </c>
      <c r="Q21" s="24" t="n">
        <f aca="false">Assumptions!$C$30*(1+Assumptions!$C$32)^13</f>
        <v>368.643270927731</v>
      </c>
      <c r="R21" s="24" t="n">
        <f aca="false">Assumptions!$C$30*(1+Assumptions!$C$32)^14</f>
        <v>370.117844011442</v>
      </c>
      <c r="S21" s="24" t="n">
        <f aca="false">Assumptions!$C$30*(1+Assumptions!$C$32)^15</f>
        <v>371.598315387487</v>
      </c>
      <c r="T21" s="24" t="n">
        <f aca="false">Assumptions!$C$30*(1+Assumptions!$C$32)^16</f>
        <v>373.084708649037</v>
      </c>
      <c r="U21" s="24" t="n">
        <f aca="false">Assumptions!$C$30*(1+Assumptions!$C$32)^17</f>
        <v>374.577047483634</v>
      </c>
      <c r="V21" s="24" t="n">
        <f aca="false">Assumptions!$C$30*(1+Assumptions!$C$32)^18</f>
        <v>376.075355673568</v>
      </c>
      <c r="W21" s="24" t="n">
        <f aca="false">Assumptions!$C$30*(1+Assumptions!$C$32)^19</f>
        <v>377.579657096262</v>
      </c>
      <c r="X21" s="24" t="n">
        <f aca="false">Assumptions!$C$30*(1+Assumptions!$C$32)^20</f>
        <v>379.089975724647</v>
      </c>
      <c r="Y21" s="24" t="n">
        <f aca="false">Assumptions!$C$30*(1+Assumptions!$C$32)^21</f>
        <v>380.606335627546</v>
      </c>
      <c r="Z21" s="24" t="n">
        <f aca="false">Assumptions!$C$30*(1+Assumptions!$C$32)^22</f>
        <v>382.128760970056</v>
      </c>
      <c r="AA21" s="24" t="n">
        <f aca="false">Assumptions!$C$30*(1+Assumptions!$C$32)^23</f>
        <v>383.657276013936</v>
      </c>
      <c r="AB21" s="24" t="n">
        <f aca="false">Assumptions!$C$30*(1+Assumptions!$C$32)^24</f>
        <v>385.191905117992</v>
      </c>
      <c r="AC21" s="24" t="n">
        <f aca="false">Assumptions!$C$30*(1+Assumptions!$C$32)^25</f>
        <v>386.732672738464</v>
      </c>
      <c r="AD21" s="24" t="n">
        <f aca="false">Assumptions!$C$30*(1+Assumptions!$C$32)^26</f>
        <v>388.279603429418</v>
      </c>
      <c r="AE21" s="24" t="n">
        <f aca="false">Assumptions!$C$30*(1+Assumptions!$C$32)^27</f>
        <v>389.832721843136</v>
      </c>
      <c r="AF21" s="24" t="n">
        <f aca="false">Assumptions!$C$30*(1+Assumptions!$C$32)^28</f>
        <v>391.392052730508</v>
      </c>
      <c r="AG21" s="24" t="n">
        <f aca="false">Assumptions!$C$30*(1+Assumptions!$C$32)^29</f>
        <v>392.95762094143</v>
      </c>
    </row>
    <row r="22" customFormat="false" ht="15" hidden="false" customHeight="false" outlineLevel="0" collapsed="false">
      <c r="B22" s="11" t="s">
        <v>111</v>
      </c>
      <c r="D22" s="24" t="n">
        <f aca="false">Assumptions!$C$31*(1+Assumptions!$C$32)^0+Assumptions!$C$9</f>
        <v>18150</v>
      </c>
      <c r="E22" s="24" t="n">
        <f aca="false">Assumptions!$C$31*(1+Assumptions!$C$32)^1</f>
        <v>150.6</v>
      </c>
      <c r="F22" s="24" t="n">
        <f aca="false">Assumptions!$C$31*(1+Assumptions!$C$32)^2</f>
        <v>151.2024</v>
      </c>
      <c r="G22" s="24" t="n">
        <f aca="false">Assumptions!$C$31*(1+Assumptions!$C$32)^3</f>
        <v>151.8072096</v>
      </c>
      <c r="H22" s="24" t="n">
        <f aca="false">Assumptions!$C$31*(1+Assumptions!$C$32)^4</f>
        <v>152.4144384384</v>
      </c>
      <c r="I22" s="24" t="n">
        <f aca="false">Assumptions!$C$31*(1+Assumptions!$C$32)^5</f>
        <v>153.024096192154</v>
      </c>
      <c r="J22" s="24" t="n">
        <f aca="false">Assumptions!$C$31*(1+Assumptions!$C$32)^6</f>
        <v>153.636192576922</v>
      </c>
      <c r="K22" s="24" t="n">
        <f aca="false">Assumptions!$C$31*(1+Assumptions!$C$32)^7</f>
        <v>154.25073734723</v>
      </c>
      <c r="L22" s="24" t="n">
        <f aca="false">Assumptions!$C$31*(1+Assumptions!$C$32)^8</f>
        <v>154.867740296619</v>
      </c>
      <c r="M22" s="24" t="n">
        <f aca="false">Assumptions!$C$31*(1+Assumptions!$C$32)^9</f>
        <v>155.487211257805</v>
      </c>
      <c r="N22" s="24" t="n">
        <f aca="false">Assumptions!$C$31*(1+Assumptions!$C$32)^10</f>
        <v>156.109160102837</v>
      </c>
      <c r="O22" s="24" t="n">
        <f aca="false">Assumptions!$C$31*(1+Assumptions!$C$32)^11</f>
        <v>156.733596743248</v>
      </c>
      <c r="P22" s="24" t="n">
        <f aca="false">Assumptions!$C$31*(1+Assumptions!$C$32)^12</f>
        <v>157.360531130221</v>
      </c>
      <c r="Q22" s="24" t="n">
        <f aca="false">Assumptions!$C$31*(1+Assumptions!$C$32)^13</f>
        <v>157.989973254742</v>
      </c>
      <c r="R22" s="24" t="n">
        <f aca="false">Assumptions!$C$31*(1+Assumptions!$C$32)^14</f>
        <v>158.621933147761</v>
      </c>
      <c r="S22" s="24" t="n">
        <f aca="false">Assumptions!$C$31*(1+Assumptions!$C$32)^15</f>
        <v>159.256420880352</v>
      </c>
      <c r="T22" s="24" t="n">
        <f aca="false">Assumptions!$C$31*(1+Assumptions!$C$32)^16</f>
        <v>159.893446563873</v>
      </c>
      <c r="U22" s="24" t="n">
        <f aca="false">Assumptions!$C$31*(1+Assumptions!$C$32)^17</f>
        <v>160.533020350129</v>
      </c>
      <c r="V22" s="24" t="n">
        <f aca="false">Assumptions!$C$31*(1+Assumptions!$C$32)^18</f>
        <v>161.175152431529</v>
      </c>
      <c r="W22" s="24" t="n">
        <f aca="false">Assumptions!$C$31*(1+Assumptions!$C$32)^19</f>
        <v>161.819853041255</v>
      </c>
      <c r="X22" s="24" t="n">
        <f aca="false">Assumptions!$C$31*(1+Assumptions!$C$32)^20</f>
        <v>162.46713245342</v>
      </c>
      <c r="Y22" s="24" t="n">
        <f aca="false">Assumptions!$C$31*(1+Assumptions!$C$32)^21</f>
        <v>163.117000983234</v>
      </c>
      <c r="Z22" s="24" t="n">
        <f aca="false">Assumptions!$C$31*(1+Assumptions!$C$32)^22</f>
        <v>163.769468987167</v>
      </c>
      <c r="AA22" s="24" t="n">
        <f aca="false">Assumptions!$C$31*(1+Assumptions!$C$32)^23</f>
        <v>164.424546863116</v>
      </c>
      <c r="AB22" s="24" t="n">
        <f aca="false">Assumptions!$C$31*(1+Assumptions!$C$32)^24</f>
        <v>165.082245050568</v>
      </c>
      <c r="AC22" s="24" t="n">
        <f aca="false">Assumptions!$C$31*(1+Assumptions!$C$32)^25</f>
        <v>165.74257403077</v>
      </c>
      <c r="AD22" s="24" t="n">
        <f aca="false">Assumptions!$C$31*(1+Assumptions!$C$32)^26</f>
        <v>166.405544326893</v>
      </c>
      <c r="AE22" s="24" t="n">
        <f aca="false">Assumptions!$C$31*(1+Assumptions!$C$32)^27</f>
        <v>167.071166504201</v>
      </c>
      <c r="AF22" s="24" t="n">
        <f aca="false">Assumptions!$C$31*(1+Assumptions!$C$32)^28</f>
        <v>167.739451170218</v>
      </c>
      <c r="AG22" s="24" t="n">
        <f aca="false">Assumptions!$C$31*(1+Assumptions!$C$32)^29</f>
        <v>168.410408974899</v>
      </c>
    </row>
    <row r="23" customFormat="false" ht="15" hidden="false" customHeight="false" outlineLevel="0" collapsed="false">
      <c r="B23" s="25" t="s">
        <v>112</v>
      </c>
      <c r="D23" s="26" t="n">
        <f aca="false">SUM(D15:D22)</f>
        <v>25850</v>
      </c>
      <c r="E23" s="26" t="n">
        <f aca="false">SUM(E15:E22)</f>
        <v>7881.4</v>
      </c>
      <c r="F23" s="26" t="n">
        <f aca="false">SUM(F15:F22)</f>
        <v>7912.9256</v>
      </c>
      <c r="G23" s="26" t="n">
        <f aca="false">SUM(G15:G22)</f>
        <v>7944.5773024</v>
      </c>
      <c r="H23" s="26" t="n">
        <f aca="false">SUM(H15:H22)</f>
        <v>7976.3556116096</v>
      </c>
      <c r="I23" s="26" t="n">
        <f aca="false">SUM(I15:I22)</f>
        <v>8008.26103405604</v>
      </c>
      <c r="J23" s="26" t="n">
        <f aca="false">SUM(J15:J22)</f>
        <v>8040.29407819226</v>
      </c>
      <c r="K23" s="26" t="n">
        <f aca="false">SUM(K15:K22)</f>
        <v>8072.45525450503</v>
      </c>
      <c r="L23" s="26" t="n">
        <f aca="false">SUM(L15:L22)</f>
        <v>8104.74507552305</v>
      </c>
      <c r="M23" s="26" t="n">
        <f aca="false">SUM(M15:M22)</f>
        <v>8137.16405582514</v>
      </c>
      <c r="N23" s="26" t="n">
        <f aca="false">SUM(N15:N22)</f>
        <v>8169.71271204844</v>
      </c>
      <c r="O23" s="26" t="n">
        <f aca="false">SUM(O15:O22)</f>
        <v>8202.39156289664</v>
      </c>
      <c r="P23" s="26" t="n">
        <f aca="false">SUM(P15:P22)</f>
        <v>8235.20112914823</v>
      </c>
      <c r="Q23" s="26" t="n">
        <f aca="false">SUM(Q15:Q22)</f>
        <v>8268.14193366482</v>
      </c>
      <c r="R23" s="26" t="n">
        <f aca="false">SUM(R15:R22)</f>
        <v>8301.21450139948</v>
      </c>
      <c r="S23" s="26" t="n">
        <f aca="false">SUM(S15:S22)</f>
        <v>8334.41935940508</v>
      </c>
      <c r="T23" s="26" t="n">
        <f aca="false">SUM(T15:T22)</f>
        <v>8367.7570368427</v>
      </c>
      <c r="U23" s="26" t="n">
        <f aca="false">SUM(U15:U22)</f>
        <v>8401.22806499007</v>
      </c>
      <c r="V23" s="26" t="n">
        <f aca="false">SUM(V15:V22)</f>
        <v>8434.83297725003</v>
      </c>
      <c r="W23" s="26" t="n">
        <f aca="false">SUM(W15:W22)</f>
        <v>8468.57230915903</v>
      </c>
      <c r="X23" s="26" t="n">
        <f aca="false">SUM(X15:X22)</f>
        <v>8502.44659839566</v>
      </c>
      <c r="Y23" s="26" t="n">
        <f aca="false">SUM(Y15:Y22)</f>
        <v>8536.45638478925</v>
      </c>
      <c r="Z23" s="26" t="n">
        <f aca="false">SUM(Z15:Z22)</f>
        <v>8570.6022103284</v>
      </c>
      <c r="AA23" s="26" t="n">
        <f aca="false">SUM(AA15:AA22)</f>
        <v>8604.88461916972</v>
      </c>
      <c r="AB23" s="26" t="n">
        <f aca="false">SUM(AB15:AB22)</f>
        <v>8639.3041576464</v>
      </c>
      <c r="AC23" s="26" t="n">
        <f aca="false">SUM(AC15:AC22)</f>
        <v>8673.86137427698</v>
      </c>
      <c r="AD23" s="26" t="n">
        <f aca="false">SUM(AD15:AD22)</f>
        <v>8708.55681977409</v>
      </c>
      <c r="AE23" s="26" t="n">
        <f aca="false">SUM(AE15:AE22)</f>
        <v>8743.39104705319</v>
      </c>
      <c r="AF23" s="26" t="n">
        <f aca="false">SUM(AF15:AF22)</f>
        <v>8778.3646112414</v>
      </c>
      <c r="AG23" s="26" t="n">
        <f aca="false">SUM(AG15:AG22)</f>
        <v>8813.47806968636</v>
      </c>
    </row>
    <row r="25" customFormat="false" ht="15" hidden="false" customHeight="false" outlineLevel="0" collapsed="false">
      <c r="B25" s="25" t="s">
        <v>113</v>
      </c>
      <c r="D25" s="27" t="n">
        <f aca="false">D12-D23</f>
        <v>-17288</v>
      </c>
      <c r="E25" s="27" t="n">
        <f aca="false">E12-E23</f>
        <v>844.140849999999</v>
      </c>
      <c r="F25" s="27" t="n">
        <f aca="false">F12-F23</f>
        <v>989.140353648749</v>
      </c>
      <c r="G25" s="27" t="n">
        <f aca="false">G12-G23</f>
        <v>1147.26309093658</v>
      </c>
      <c r="H25" s="27" t="n">
        <f aca="false">H12-H23</f>
        <v>1318.79455192928</v>
      </c>
      <c r="I25" s="27" t="n">
        <f aca="false">I12-I23</f>
        <v>1504.04156640701</v>
      </c>
      <c r="J25" s="27" t="n">
        <f aca="false">J12-J23</f>
        <v>1703.33276718423</v>
      </c>
      <c r="K25" s="27" t="n">
        <f aca="false">K12-K23</f>
        <v>1917.01908780671</v>
      </c>
      <c r="L25" s="27" t="n">
        <f aca="false">L12-L23</f>
        <v>2145.47429537642</v>
      </c>
      <c r="M25" s="27" t="n">
        <f aca="false">M12-M23</f>
        <v>2389.09555931015</v>
      </c>
      <c r="N25" s="27" t="n">
        <f aca="false">N12-N23</f>
        <v>2648.30405689446</v>
      </c>
      <c r="O25" s="27" t="n">
        <f aca="false">O12-O23</f>
        <v>2923.54561655731</v>
      </c>
      <c r="P25" s="27" t="n">
        <f aca="false">P12-P23</f>
        <v>3215.29139983629</v>
      </c>
      <c r="Q25" s="27" t="n">
        <f aca="false">Q12-Q23</f>
        <v>3524.03862308383</v>
      </c>
      <c r="R25" s="27" t="n">
        <f aca="false">R12-R23</f>
        <v>3850.31132001222</v>
      </c>
      <c r="S25" s="27" t="n">
        <f aca="false">S12-S23</f>
        <v>4194.6611462457</v>
      </c>
      <c r="T25" s="27" t="n">
        <f aca="false">T12-T23</f>
        <v>4557.6682271119</v>
      </c>
      <c r="U25" s="27" t="n">
        <f aca="false">U12-U23</f>
        <v>4939.94204997363</v>
      </c>
      <c r="V25" s="27" t="n">
        <f aca="false">V12-V23</f>
        <v>5342.12240247088</v>
      </c>
      <c r="W25" s="27" t="n">
        <f aca="false">W12-W23</f>
        <v>5764.88035811516</v>
      </c>
      <c r="X25" s="27" t="n">
        <f aca="false">X12-X23</f>
        <v>6208.91931075234</v>
      </c>
      <c r="Y25" s="27" t="n">
        <f aca="false">Y12-Y23</f>
        <v>6674.97605948622</v>
      </c>
      <c r="Z25" s="27" t="n">
        <f aca="false">Z12-Z23</f>
        <v>7163.82194573416</v>
      </c>
      <c r="AA25" s="27" t="n">
        <f aca="false">AA12-AA23</f>
        <v>7676.26404416747</v>
      </c>
      <c r="AB25" s="27" t="n">
        <f aca="false">AB12-AB23</f>
        <v>8213.14640937297</v>
      </c>
      <c r="AC25" s="27" t="n">
        <f aca="false">AC12-AC23</f>
        <v>8775.35138015969</v>
      </c>
      <c r="AD25" s="27" t="n">
        <f aca="false">AD12-AD23</f>
        <v>9363.80094352389</v>
      </c>
      <c r="AE25" s="27" t="n">
        <f aca="false">AE12-AE23</f>
        <v>9979.45816037903</v>
      </c>
      <c r="AF25" s="27" t="n">
        <f aca="false">AF12-AF23</f>
        <v>10623.3286552534</v>
      </c>
      <c r="AG25" s="27" t="n">
        <f aca="false">AG12-AG23</f>
        <v>11296.4621722577</v>
      </c>
    </row>
    <row r="26" customFormat="false" ht="15" hidden="false" customHeight="false" outlineLevel="0" collapsed="false">
      <c r="B26" s="28" t="s">
        <v>114</v>
      </c>
      <c r="D26" s="29" t="n">
        <f aca="false">Assumptions!$C$8+D25</f>
        <v>12712</v>
      </c>
      <c r="E26" s="29" t="n">
        <f aca="false">D26+E25</f>
        <v>13556.14085</v>
      </c>
      <c r="F26" s="29" t="n">
        <f aca="false">E26+F25</f>
        <v>14545.2812036487</v>
      </c>
      <c r="G26" s="29" t="n">
        <f aca="false">F26+G25</f>
        <v>15692.5442945853</v>
      </c>
      <c r="H26" s="29" t="n">
        <f aca="false">G26+H25</f>
        <v>17011.3388465146</v>
      </c>
      <c r="I26" s="29" t="n">
        <f aca="false">H26+I25</f>
        <v>18515.3804129216</v>
      </c>
      <c r="J26" s="29" t="n">
        <f aca="false">I26+J25</f>
        <v>20218.7131801059</v>
      </c>
      <c r="K26" s="29" t="n">
        <f aca="false">J26+K25</f>
        <v>22135.7322679126</v>
      </c>
      <c r="L26" s="29" t="n">
        <f aca="false">K26+L25</f>
        <v>24281.206563289</v>
      </c>
      <c r="M26" s="29" t="n">
        <f aca="false">L26+M25</f>
        <v>26670.3021225991</v>
      </c>
      <c r="N26" s="29" t="n">
        <f aca="false">M26+N25</f>
        <v>29318.6061794936</v>
      </c>
      <c r="O26" s="29" t="n">
        <f aca="false">N26+O25</f>
        <v>32242.1517960509</v>
      </c>
      <c r="P26" s="29" t="n">
        <f aca="false">O26+P25</f>
        <v>35457.4431958872</v>
      </c>
      <c r="Q26" s="29" t="n">
        <f aca="false">P26+Q25</f>
        <v>38981.481818971</v>
      </c>
      <c r="R26" s="29" t="n">
        <f aca="false">Q26+R25</f>
        <v>42831.7931389833</v>
      </c>
      <c r="S26" s="29" t="n">
        <f aca="false">R26+S25</f>
        <v>47026.4542852289</v>
      </c>
      <c r="T26" s="29" t="n">
        <f aca="false">S26+T25</f>
        <v>51584.1225123408</v>
      </c>
      <c r="U26" s="29" t="n">
        <f aca="false">T26+U25</f>
        <v>56524.0645623145</v>
      </c>
      <c r="V26" s="29" t="n">
        <f aca="false">U26+V25</f>
        <v>61866.1869647854</v>
      </c>
      <c r="W26" s="29" t="n">
        <f aca="false">V26+W25</f>
        <v>67631.0673229005</v>
      </c>
      <c r="X26" s="29" t="n">
        <f aca="false">W26+X25</f>
        <v>73839.9866336529</v>
      </c>
      <c r="Y26" s="29" t="n">
        <f aca="false">X26+Y25</f>
        <v>80514.9626931391</v>
      </c>
      <c r="Z26" s="29" t="n">
        <f aca="false">Y26+Z25</f>
        <v>87678.7846388732</v>
      </c>
      <c r="AA26" s="29" t="n">
        <f aca="false">Z26+AA25</f>
        <v>95355.0486830407</v>
      </c>
      <c r="AB26" s="29" t="n">
        <f aca="false">AA26+AB25</f>
        <v>103568.195092414</v>
      </c>
      <c r="AC26" s="29" t="n">
        <f aca="false">AB26+AC25</f>
        <v>112343.546472573</v>
      </c>
      <c r="AD26" s="29" t="n">
        <f aca="false">AC26+AD25</f>
        <v>121707.347416097</v>
      </c>
      <c r="AE26" s="29" t="n">
        <f aca="false">AD26+AE25</f>
        <v>131686.805576476</v>
      </c>
      <c r="AF26" s="29" t="n">
        <f aca="false">AE26+AF25</f>
        <v>142310.13423173</v>
      </c>
      <c r="AG26" s="29" t="n">
        <f aca="false">AF26+AG25</f>
        <v>153606.596403987</v>
      </c>
    </row>
  </sheetData>
  <mergeCells count="1">
    <mergeCell ref="B2:H2"/>
  </mergeCells>
  <conditionalFormatting sqref="D26:AG26">
    <cfRule type="cellIs" priority="2" operator="lessThan" aboveAverage="0" equalAverage="0" bottom="0" percent="0" rank="0" text="" dxfId="0">
      <formula>0</formula>
    </cfRule>
  </conditionalFormatting>
  <conditionalFormatting sqref="D25:AG25"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30"/>
    <col collapsed="false" customWidth="true" hidden="false" outlineLevel="0" max="6" min="6" style="0" width="18"/>
    <col collapsed="false" customWidth="true" hidden="false" outlineLevel="0" max="11" min="8" style="0" width="11"/>
    <col collapsed="false" customWidth="true" hidden="false" outlineLevel="0" max="13" min="13" style="0" width="8"/>
    <col collapsed="false" customWidth="true" hidden="false" outlineLevel="0" max="14" min="14" style="0" width="16"/>
  </cols>
  <sheetData>
    <row r="2" customFormat="false" ht="36" hidden="false" customHeight="true" outlineLevel="0" collapsed="false">
      <c r="B2" s="30" t="s">
        <v>115</v>
      </c>
      <c r="C2" s="30"/>
      <c r="D2" s="30"/>
      <c r="E2" s="30"/>
      <c r="F2" s="30"/>
    </row>
    <row r="3" customFormat="false" ht="18" hidden="false" customHeight="true" outlineLevel="0" collapsed="false">
      <c r="B3" s="31" t="s">
        <v>116</v>
      </c>
      <c r="C3" s="31"/>
      <c r="D3" s="31"/>
      <c r="E3" s="31"/>
      <c r="F3" s="31"/>
    </row>
    <row r="4" customFormat="false" ht="15" hidden="false" customHeight="false" outlineLevel="0" collapsed="false">
      <c r="H4" s="32" t="s">
        <v>117</v>
      </c>
    </row>
    <row r="5" customFormat="false" ht="15" hidden="false" customHeight="false" outlineLevel="0" collapsed="false">
      <c r="B5" s="33" t="s">
        <v>118</v>
      </c>
      <c r="E5" s="33" t="s">
        <v>119</v>
      </c>
      <c r="H5" s="34" t="s">
        <v>103</v>
      </c>
      <c r="I5" s="34" t="s">
        <v>120</v>
      </c>
      <c r="J5" s="34" t="s">
        <v>121</v>
      </c>
      <c r="K5" s="34" t="s">
        <v>122</v>
      </c>
      <c r="M5" s="35" t="s">
        <v>123</v>
      </c>
      <c r="N5" s="36" t="str">
        <f aca="false">IFERROR("Month "&amp;MIN(Dashboard!$M$6:$M$35),"Not in 30 mo")</f>
        <v>Month 9</v>
      </c>
    </row>
    <row r="6" customFormat="false" ht="15" hidden="false" customHeight="false" outlineLevel="0" collapsed="false">
      <c r="B6" s="37" t="s">
        <v>124</v>
      </c>
      <c r="E6" s="37" t="s">
        <v>125</v>
      </c>
      <c r="H6" s="38" t="n">
        <f aca="false">'Monthly Budget'!D5</f>
        <v>46023</v>
      </c>
      <c r="I6" s="39" t="n">
        <f aca="false">'Monthly Budget'!D12</f>
        <v>8562</v>
      </c>
      <c r="J6" s="39" t="n">
        <f aca="false">'Monthly Budget'!D23</f>
        <v>25850</v>
      </c>
      <c r="K6" s="39" t="n">
        <f aca="false">'Monthly Budget'!D26</f>
        <v>12712</v>
      </c>
      <c r="M6" s="40" t="n">
        <f aca="false">IF('Monthly Budget'!D9&gt;='Monthly Budget'!D23,ROW()-5,9999)</f>
        <v>9999</v>
      </c>
    </row>
    <row r="7" customFormat="false" ht="19.7" hidden="false" customHeight="false" outlineLevel="0" collapsed="false">
      <c r="B7" s="41" t="str">
        <f aca="false">IFERROR(IF(MIN('Monthly Budget'!D26:AG26)&gt;=0,"Fully funded (30+ mo)",MATCH(TRUE(),INDEX('Monthly Budget'!D26:AG26&lt;0,0),0)-1),"Fully funded")</f>
        <v>Fully funded (30+ mo)</v>
      </c>
      <c r="E7" s="41" t="str">
        <f aca="false">IFERROR("Month "&amp;MATCH(MIN('Monthly Budget'!D26:AG26),'Monthly Budget'!D26:AG26,0),"-")</f>
        <v>Month 1</v>
      </c>
      <c r="H7" s="38" t="n">
        <f aca="false">'Monthly Budget'!E5</f>
        <v>46054</v>
      </c>
      <c r="I7" s="39" t="n">
        <f aca="false">'Monthly Budget'!E12</f>
        <v>8725.54085</v>
      </c>
      <c r="J7" s="39" t="n">
        <f aca="false">'Monthly Budget'!E23</f>
        <v>7881.4</v>
      </c>
      <c r="K7" s="39" t="n">
        <f aca="false">'Monthly Budget'!E26</f>
        <v>13556.14085</v>
      </c>
      <c r="M7" s="40" t="n">
        <f aca="false">IF('Monthly Budget'!E9&gt;='Monthly Budget'!E23,ROW()-5,9999)</f>
        <v>9999</v>
      </c>
    </row>
    <row r="8" customFormat="false" ht="15" hidden="false" customHeight="false" outlineLevel="0" collapsed="false">
      <c r="B8" s="37" t="s">
        <v>126</v>
      </c>
      <c r="E8" s="37" t="s">
        <v>127</v>
      </c>
      <c r="H8" s="38" t="n">
        <f aca="false">'Monthly Budget'!F5</f>
        <v>46082</v>
      </c>
      <c r="I8" s="39" t="n">
        <f aca="false">'Monthly Budget'!F12</f>
        <v>8902.06595364875</v>
      </c>
      <c r="J8" s="39" t="n">
        <f aca="false">'Monthly Budget'!F23</f>
        <v>7912.9256</v>
      </c>
      <c r="K8" s="39" t="n">
        <f aca="false">'Monthly Budget'!F26</f>
        <v>14545.2812036487</v>
      </c>
      <c r="M8" s="40" t="n">
        <f aca="false">IF('Monthly Budget'!F9&gt;='Monthly Budget'!F23,ROW()-5,9999)</f>
        <v>9999</v>
      </c>
    </row>
    <row r="9" customFormat="false" ht="20.85" hidden="false" customHeight="false" outlineLevel="0" collapsed="false">
      <c r="B9" s="42" t="n">
        <f aca="false">MIN('Monthly Budget'!D26:AG26)</f>
        <v>12712</v>
      </c>
      <c r="E9" s="43" t="n">
        <f aca="false">'Monthly Budget'!D6</f>
        <v>40</v>
      </c>
      <c r="H9" s="38" t="n">
        <f aca="false">'Monthly Budget'!G5</f>
        <v>46113</v>
      </c>
      <c r="I9" s="39" t="n">
        <f aca="false">'Monthly Budget'!G12</f>
        <v>9091.84039333658</v>
      </c>
      <c r="J9" s="39" t="n">
        <f aca="false">'Monthly Budget'!G23</f>
        <v>7944.5773024</v>
      </c>
      <c r="K9" s="39" t="n">
        <f aca="false">'Monthly Budget'!G26</f>
        <v>15692.5442945853</v>
      </c>
      <c r="M9" s="40" t="n">
        <f aca="false">IF('Monthly Budget'!G9&gt;='Monthly Budget'!G23,ROW()-5,9999)</f>
        <v>9999</v>
      </c>
    </row>
    <row r="10" customFormat="false" ht="15" hidden="false" customHeight="false" outlineLevel="0" collapsed="false">
      <c r="B10" s="37" t="s">
        <v>128</v>
      </c>
      <c r="E10" s="37" t="s">
        <v>129</v>
      </c>
      <c r="H10" s="38" t="n">
        <f aca="false">'Monthly Budget'!H5</f>
        <v>46143</v>
      </c>
      <c r="I10" s="39" t="n">
        <f aca="false">'Monthly Budget'!H12</f>
        <v>9295.15016353888</v>
      </c>
      <c r="J10" s="39" t="n">
        <f aca="false">'Monthly Budget'!H23</f>
        <v>7976.3556116096</v>
      </c>
      <c r="K10" s="39" t="n">
        <f aca="false">'Monthly Budget'!H26</f>
        <v>17011.3388465146</v>
      </c>
      <c r="M10" s="40" t="n">
        <f aca="false">IF('Monthly Budget'!H9&gt;='Monthly Budget'!H23,ROW()-5,9999)</f>
        <v>9999</v>
      </c>
    </row>
    <row r="11" customFormat="false" ht="19.7" hidden="false" customHeight="false" outlineLevel="0" collapsed="false">
      <c r="B11" s="42" t="n">
        <f aca="false">SUM('Monthly Budget'!D12:AG12)</f>
        <v>391289.591895264</v>
      </c>
      <c r="E11" s="43" t="n">
        <f aca="false">'Monthly Budget'!AG6</f>
        <v>108.475119022324</v>
      </c>
      <c r="H11" s="38" t="n">
        <f aca="false">'Monthly Budget'!I5</f>
        <v>46174</v>
      </c>
      <c r="I11" s="39" t="n">
        <f aca="false">'Monthly Budget'!I12</f>
        <v>9512.30260046305</v>
      </c>
      <c r="J11" s="39" t="n">
        <f aca="false">'Monthly Budget'!I23</f>
        <v>8008.26103405604</v>
      </c>
      <c r="K11" s="39" t="n">
        <f aca="false">'Monthly Budget'!I26</f>
        <v>18515.3804129216</v>
      </c>
      <c r="M11" s="40" t="n">
        <f aca="false">IF('Monthly Budget'!I9&gt;='Monthly Budget'!I23,ROW()-5,9999)</f>
        <v>9999</v>
      </c>
    </row>
    <row r="12" customFormat="false" ht="15" hidden="false" customHeight="false" outlineLevel="0" collapsed="false">
      <c r="B12" s="37" t="s">
        <v>130</v>
      </c>
      <c r="E12" s="37" t="s">
        <v>131</v>
      </c>
      <c r="H12" s="38" t="n">
        <f aca="false">'Monthly Budget'!J5</f>
        <v>46204</v>
      </c>
      <c r="I12" s="39" t="n">
        <f aca="false">'Monthly Budget'!J12</f>
        <v>9743.6268453765</v>
      </c>
      <c r="J12" s="39" t="n">
        <f aca="false">'Monthly Budget'!J23</f>
        <v>8040.29407819226</v>
      </c>
      <c r="K12" s="39" t="n">
        <f aca="false">'Monthly Budget'!J26</f>
        <v>20218.7131801059</v>
      </c>
      <c r="M12" s="40" t="n">
        <f aca="false">IF('Monthly Budget'!J9&gt;='Monthly Budget'!J23,ROW()-5,9999)</f>
        <v>9999</v>
      </c>
    </row>
    <row r="13" customFormat="false" ht="19.7" hidden="false" customHeight="false" outlineLevel="0" collapsed="false">
      <c r="B13" s="42" t="n">
        <f aca="false">SUM('Monthly Budget'!D23:AG23)</f>
        <v>267682.995491277</v>
      </c>
      <c r="E13" s="41" t="str">
        <f aca="false">Dashboard!N5</f>
        <v>Month 9</v>
      </c>
      <c r="H13" s="38" t="n">
        <f aca="false">'Monthly Budget'!K5</f>
        <v>46235</v>
      </c>
      <c r="I13" s="39" t="n">
        <f aca="false">'Monthly Budget'!K12</f>
        <v>9989.47434231174</v>
      </c>
      <c r="J13" s="39" t="n">
        <f aca="false">'Monthly Budget'!K23</f>
        <v>8072.45525450503</v>
      </c>
      <c r="K13" s="39" t="n">
        <f aca="false">'Monthly Budget'!K26</f>
        <v>22135.7322679126</v>
      </c>
      <c r="M13" s="40" t="n">
        <f aca="false">IF('Monthly Budget'!K9&gt;='Monthly Budget'!K23,ROW()-5,9999)</f>
        <v>9999</v>
      </c>
    </row>
    <row r="14" customFormat="false" ht="15" hidden="false" customHeight="false" outlineLevel="0" collapsed="false">
      <c r="B14" s="37" t="s">
        <v>132</v>
      </c>
      <c r="E14" s="37" t="s">
        <v>133</v>
      </c>
      <c r="H14" s="38" t="n">
        <f aca="false">'Monthly Budget'!L5</f>
        <v>46266</v>
      </c>
      <c r="I14" s="39" t="n">
        <f aca="false">'Monthly Budget'!L12</f>
        <v>10250.2193708995</v>
      </c>
      <c r="J14" s="39" t="n">
        <f aca="false">'Monthly Budget'!L23</f>
        <v>8104.74507552305</v>
      </c>
      <c r="K14" s="39" t="n">
        <f aca="false">'Monthly Budget'!L26</f>
        <v>24281.206563289</v>
      </c>
      <c r="M14" s="40" t="n">
        <f aca="false">IF('Monthly Budget'!L9&gt;='Monthly Budget'!L23,ROW()-5,9999)</f>
        <v>9</v>
      </c>
    </row>
    <row r="15" customFormat="false" ht="20.85" hidden="false" customHeight="false" outlineLevel="0" collapsed="false">
      <c r="B15" s="42" t="n">
        <f aca="false">SUM('Monthly Budget'!D25:AG25)</f>
        <v>123606.596403987</v>
      </c>
      <c r="E15" s="42" t="n">
        <f aca="false">AVERAGE('Monthly Budget'!D12:AG12)</f>
        <v>13042.9863965088</v>
      </c>
      <c r="H15" s="38" t="n">
        <f aca="false">'Monthly Budget'!M5</f>
        <v>46296</v>
      </c>
      <c r="I15" s="39" t="n">
        <f aca="false">'Monthly Budget'!M12</f>
        <v>10526.2596151353</v>
      </c>
      <c r="J15" s="39" t="n">
        <f aca="false">'Monthly Budget'!M23</f>
        <v>8137.16405582514</v>
      </c>
      <c r="K15" s="39" t="n">
        <f aca="false">'Monthly Budget'!M26</f>
        <v>26670.3021225991</v>
      </c>
      <c r="M15" s="40" t="n">
        <f aca="false">IF('Monthly Budget'!M9&gt;='Monthly Budget'!M23,ROW()-5,9999)</f>
        <v>10</v>
      </c>
    </row>
    <row r="16" customFormat="false" ht="15" hidden="false" customHeight="false" outlineLevel="0" collapsed="false">
      <c r="B16" s="37" t="s">
        <v>134</v>
      </c>
      <c r="E16" s="37" t="s">
        <v>135</v>
      </c>
      <c r="H16" s="38" t="n">
        <f aca="false">'Monthly Budget'!N5</f>
        <v>46327</v>
      </c>
      <c r="I16" s="39" t="n">
        <f aca="false">'Monthly Budget'!N12</f>
        <v>10818.0167689429</v>
      </c>
      <c r="J16" s="39" t="n">
        <f aca="false">'Monthly Budget'!N23</f>
        <v>8169.71271204844</v>
      </c>
      <c r="K16" s="39" t="n">
        <f aca="false">'Monthly Budget'!N26</f>
        <v>29318.6061794936</v>
      </c>
      <c r="M16" s="40" t="n">
        <f aca="false">IF('Monthly Budget'!N9&gt;='Monthly Budget'!N23,ROW()-5,9999)</f>
        <v>11</v>
      </c>
    </row>
    <row r="17" customFormat="false" ht="20.85" hidden="false" customHeight="false" outlineLevel="0" collapsed="false">
      <c r="B17" s="42" t="n">
        <f aca="false">'Monthly Budget'!AG26</f>
        <v>153606.596403987</v>
      </c>
      <c r="E17" s="42" t="n">
        <f aca="false">AVERAGE('Monthly Budget'!D23:AG23)</f>
        <v>8922.7665163759</v>
      </c>
      <c r="H17" s="38" t="n">
        <f aca="false">'Monthly Budget'!O5</f>
        <v>46357</v>
      </c>
      <c r="I17" s="39" t="n">
        <f aca="false">'Monthly Budget'!O12</f>
        <v>11125.9371794539</v>
      </c>
      <c r="J17" s="39" t="n">
        <f aca="false">'Monthly Budget'!O23</f>
        <v>8202.39156289664</v>
      </c>
      <c r="K17" s="39" t="n">
        <f aca="false">'Monthly Budget'!O26</f>
        <v>32242.1517960509</v>
      </c>
      <c r="M17" s="40" t="n">
        <f aca="false">IF('Monthly Budget'!O9&gt;='Monthly Budget'!O23,ROW()-5,9999)</f>
        <v>12</v>
      </c>
    </row>
    <row r="18" customFormat="false" ht="15" hidden="false" customHeight="false" outlineLevel="0" collapsed="false">
      <c r="H18" s="38" t="n">
        <f aca="false">'Monthly Budget'!P5</f>
        <v>46388</v>
      </c>
      <c r="I18" s="39" t="n">
        <f aca="false">'Monthly Budget'!P12</f>
        <v>11450.4925289845</v>
      </c>
      <c r="J18" s="39" t="n">
        <f aca="false">'Monthly Budget'!P23</f>
        <v>8235.20112914823</v>
      </c>
      <c r="K18" s="39" t="n">
        <f aca="false">'Monthly Budget'!P26</f>
        <v>35457.4431958872</v>
      </c>
      <c r="M18" s="40" t="n">
        <f aca="false">IF('Monthly Budget'!P9&gt;='Monthly Budget'!P23,ROW()-5,9999)</f>
        <v>13</v>
      </c>
    </row>
    <row r="19" customFormat="false" ht="15" hidden="false" customHeight="false" outlineLevel="0" collapsed="false">
      <c r="H19" s="38" t="n">
        <f aca="false">'Monthly Budget'!Q5</f>
        <v>46419</v>
      </c>
      <c r="I19" s="39" t="n">
        <f aca="false">'Monthly Budget'!Q12</f>
        <v>11792.1805567486</v>
      </c>
      <c r="J19" s="39" t="n">
        <f aca="false">'Monthly Budget'!Q23</f>
        <v>8268.14193366482</v>
      </c>
      <c r="K19" s="39" t="n">
        <f aca="false">'Monthly Budget'!Q26</f>
        <v>38981.481818971</v>
      </c>
      <c r="M19" s="40" t="n">
        <f aca="false">IF('Monthly Budget'!Q9&gt;='Monthly Budget'!Q23,ROW()-5,9999)</f>
        <v>14</v>
      </c>
    </row>
    <row r="20" customFormat="false" ht="15" hidden="false" customHeight="false" outlineLevel="0" collapsed="false">
      <c r="H20" s="38" t="n">
        <f aca="false">'Monthly Budget'!R5</f>
        <v>46447</v>
      </c>
      <c r="I20" s="39" t="n">
        <f aca="false">'Monthly Budget'!R12</f>
        <v>12151.5258214117</v>
      </c>
      <c r="J20" s="39" t="n">
        <f aca="false">'Monthly Budget'!R23</f>
        <v>8301.21450139948</v>
      </c>
      <c r="K20" s="39" t="n">
        <f aca="false">'Monthly Budget'!R26</f>
        <v>42831.7931389833</v>
      </c>
      <c r="M20" s="40" t="n">
        <f aca="false">IF('Monthly Budget'!R9&gt;='Monthly Budget'!R23,ROW()-5,9999)</f>
        <v>15</v>
      </c>
    </row>
    <row r="21" customFormat="false" ht="15" hidden="false" customHeight="false" outlineLevel="0" collapsed="false">
      <c r="H21" s="38" t="n">
        <f aca="false">'Monthly Budget'!S5</f>
        <v>46478</v>
      </c>
      <c r="I21" s="39" t="n">
        <f aca="false">'Monthly Budget'!S12</f>
        <v>12529.0805056508</v>
      </c>
      <c r="J21" s="39" t="n">
        <f aca="false">'Monthly Budget'!S23</f>
        <v>8334.41935940508</v>
      </c>
      <c r="K21" s="39" t="n">
        <f aca="false">'Monthly Budget'!S26</f>
        <v>47026.4542852289</v>
      </c>
      <c r="M21" s="40" t="n">
        <f aca="false">IF('Monthly Budget'!S9&gt;='Monthly Budget'!S23,ROW()-5,9999)</f>
        <v>16</v>
      </c>
    </row>
    <row r="22" customFormat="false" ht="15" hidden="false" customHeight="false" outlineLevel="0" collapsed="false">
      <c r="H22" s="38" t="n">
        <f aca="false">'Monthly Budget'!T5</f>
        <v>46508</v>
      </c>
      <c r="I22" s="39" t="n">
        <f aca="false">'Monthly Budget'!T12</f>
        <v>12925.4252639546</v>
      </c>
      <c r="J22" s="39" t="n">
        <f aca="false">'Monthly Budget'!T23</f>
        <v>8367.7570368427</v>
      </c>
      <c r="K22" s="39" t="n">
        <f aca="false">'Monthly Budget'!T26</f>
        <v>51584.1225123408</v>
      </c>
      <c r="M22" s="40" t="n">
        <f aca="false">IF('Monthly Budget'!T9&gt;='Monthly Budget'!T23,ROW()-5,9999)</f>
        <v>17</v>
      </c>
    </row>
    <row r="23" customFormat="false" ht="15" hidden="false" customHeight="false" outlineLevel="0" collapsed="false">
      <c r="H23" s="38" t="n">
        <f aca="false">'Monthly Budget'!U5</f>
        <v>46539</v>
      </c>
      <c r="I23" s="39" t="n">
        <f aca="false">'Monthly Budget'!U12</f>
        <v>13341.1701149637</v>
      </c>
      <c r="J23" s="39" t="n">
        <f aca="false">'Monthly Budget'!U23</f>
        <v>8401.22806499007</v>
      </c>
      <c r="K23" s="39" t="n">
        <f aca="false">'Monthly Budget'!U26</f>
        <v>56524.0645623145</v>
      </c>
      <c r="M23" s="40" t="n">
        <f aca="false">IF('Monthly Budget'!U9&gt;='Monthly Budget'!U23,ROW()-5,9999)</f>
        <v>18</v>
      </c>
    </row>
    <row r="24" customFormat="false" ht="15" hidden="false" customHeight="false" outlineLevel="0" collapsed="false">
      <c r="H24" s="38" t="n">
        <f aca="false">'Monthly Budget'!V5</f>
        <v>46569</v>
      </c>
      <c r="I24" s="39" t="n">
        <f aca="false">'Monthly Budget'!V12</f>
        <v>13776.9553797209</v>
      </c>
      <c r="J24" s="39" t="n">
        <f aca="false">'Monthly Budget'!V23</f>
        <v>8434.83297725003</v>
      </c>
      <c r="K24" s="39" t="n">
        <f aca="false">'Monthly Budget'!V26</f>
        <v>61866.1869647854</v>
      </c>
      <c r="M24" s="40" t="n">
        <f aca="false">IF('Monthly Budget'!V9&gt;='Monthly Budget'!V23,ROW()-5,9999)</f>
        <v>19</v>
      </c>
    </row>
    <row r="25" customFormat="false" ht="15" hidden="false" customHeight="false" outlineLevel="0" collapsed="false">
      <c r="H25" s="38" t="n">
        <f aca="false">'Monthly Budget'!W5</f>
        <v>46600</v>
      </c>
      <c r="I25" s="39" t="n">
        <f aca="false">'Monthly Budget'!W12</f>
        <v>14233.4526672742</v>
      </c>
      <c r="J25" s="39" t="n">
        <f aca="false">'Monthly Budget'!W23</f>
        <v>8468.57230915903</v>
      </c>
      <c r="K25" s="39" t="n">
        <f aca="false">'Monthly Budget'!W26</f>
        <v>67631.0673229005</v>
      </c>
      <c r="M25" s="40" t="n">
        <f aca="false">IF('Monthly Budget'!W9&gt;='Monthly Budget'!W23,ROW()-5,9999)</f>
        <v>20</v>
      </c>
    </row>
    <row r="26" customFormat="false" ht="15" hidden="false" customHeight="false" outlineLevel="0" collapsed="false">
      <c r="H26" s="38" t="n">
        <f aca="false">'Monthly Budget'!X5</f>
        <v>46631</v>
      </c>
      <c r="I26" s="39" t="n">
        <f aca="false">'Monthly Budget'!X12</f>
        <v>14711.365909148</v>
      </c>
      <c r="J26" s="39" t="n">
        <f aca="false">'Monthly Budget'!X23</f>
        <v>8502.44659839566</v>
      </c>
      <c r="K26" s="39" t="n">
        <f aca="false">'Monthly Budget'!X26</f>
        <v>73839.9866336529</v>
      </c>
      <c r="M26" s="40" t="n">
        <f aca="false">IF('Monthly Budget'!X9&gt;='Monthly Budget'!X23,ROW()-5,9999)</f>
        <v>21</v>
      </c>
    </row>
    <row r="27" customFormat="false" ht="15" hidden="false" customHeight="false" outlineLevel="0" collapsed="false">
      <c r="H27" s="38" t="n">
        <f aca="false">'Monthly Budget'!Y5</f>
        <v>46661</v>
      </c>
      <c r="I27" s="39" t="n">
        <f aca="false">'Monthly Budget'!Y12</f>
        <v>15211.4324442755</v>
      </c>
      <c r="J27" s="39" t="n">
        <f aca="false">'Monthly Budget'!Y23</f>
        <v>8536.45638478925</v>
      </c>
      <c r="K27" s="39" t="n">
        <f aca="false">'Monthly Budget'!Y26</f>
        <v>80514.9626931391</v>
      </c>
      <c r="M27" s="40" t="n">
        <f aca="false">IF('Monthly Budget'!Y9&gt;='Monthly Budget'!Y23,ROW()-5,9999)</f>
        <v>22</v>
      </c>
    </row>
    <row r="28" customFormat="false" ht="15" hidden="false" customHeight="false" outlineLevel="0" collapsed="false">
      <c r="H28" s="38" t="n">
        <f aca="false">'Monthly Budget'!Z5</f>
        <v>46692</v>
      </c>
      <c r="I28" s="39" t="n">
        <f aca="false">'Monthly Budget'!Z12</f>
        <v>15734.4241560626</v>
      </c>
      <c r="J28" s="39" t="n">
        <f aca="false">'Monthly Budget'!Z23</f>
        <v>8570.6022103284</v>
      </c>
      <c r="K28" s="39" t="n">
        <f aca="false">'Monthly Budget'!Z26</f>
        <v>87678.7846388732</v>
      </c>
      <c r="M28" s="40" t="n">
        <f aca="false">IF('Monthly Budget'!Z9&gt;='Monthly Budget'!Z23,ROW()-5,9999)</f>
        <v>23</v>
      </c>
    </row>
    <row r="29" customFormat="false" ht="15" hidden="false" customHeight="false" outlineLevel="0" collapsed="false">
      <c r="H29" s="38" t="n">
        <f aca="false">'Monthly Budget'!AA5</f>
        <v>46722</v>
      </c>
      <c r="I29" s="39" t="n">
        <f aca="false">'Monthly Budget'!AA12</f>
        <v>16281.1486633372</v>
      </c>
      <c r="J29" s="39" t="n">
        <f aca="false">'Monthly Budget'!AA23</f>
        <v>8604.88461916972</v>
      </c>
      <c r="K29" s="39" t="n">
        <f aca="false">'Monthly Budget'!AA26</f>
        <v>95355.0486830407</v>
      </c>
      <c r="M29" s="40" t="n">
        <f aca="false">IF('Monthly Budget'!AA9&gt;='Monthly Budget'!AA23,ROW()-5,9999)</f>
        <v>24</v>
      </c>
    </row>
    <row r="30" customFormat="false" ht="15" hidden="false" customHeight="false" outlineLevel="0" collapsed="false">
      <c r="H30" s="38" t="n">
        <f aca="false">'Monthly Budget'!AB5</f>
        <v>46753</v>
      </c>
      <c r="I30" s="39" t="n">
        <f aca="false">'Monthly Budget'!AB12</f>
        <v>16852.4505670194</v>
      </c>
      <c r="J30" s="39" t="n">
        <f aca="false">'Monthly Budget'!AB23</f>
        <v>8639.3041576464</v>
      </c>
      <c r="K30" s="39" t="n">
        <f aca="false">'Monthly Budget'!AB26</f>
        <v>103568.195092414</v>
      </c>
      <c r="M30" s="40" t="n">
        <f aca="false">IF('Monthly Budget'!AB9&gt;='Monthly Budget'!AB23,ROW()-5,9999)</f>
        <v>25</v>
      </c>
    </row>
    <row r="31" customFormat="false" ht="15" hidden="false" customHeight="false" outlineLevel="0" collapsed="false">
      <c r="H31" s="38" t="n">
        <f aca="false">'Monthly Budget'!AC5</f>
        <v>46784</v>
      </c>
      <c r="I31" s="39" t="n">
        <f aca="false">'Monthly Budget'!AC12</f>
        <v>17449.2127544367</v>
      </c>
      <c r="J31" s="39" t="n">
        <f aca="false">'Monthly Budget'!AC23</f>
        <v>8673.86137427698</v>
      </c>
      <c r="K31" s="39" t="n">
        <f aca="false">'Monthly Budget'!AC26</f>
        <v>112343.546472573</v>
      </c>
      <c r="M31" s="40" t="n">
        <f aca="false">IF('Monthly Budget'!AC9&gt;='Monthly Budget'!AC23,ROW()-5,9999)</f>
        <v>26</v>
      </c>
    </row>
    <row r="32" customFormat="false" ht="15" hidden="false" customHeight="false" outlineLevel="0" collapsed="false">
      <c r="H32" s="38" t="n">
        <f aca="false">'Monthly Budget'!AD5</f>
        <v>46813</v>
      </c>
      <c r="I32" s="39" t="n">
        <f aca="false">'Monthly Budget'!AD12</f>
        <v>18072.357763298</v>
      </c>
      <c r="J32" s="39" t="n">
        <f aca="false">'Monthly Budget'!AD23</f>
        <v>8708.55681977409</v>
      </c>
      <c r="K32" s="39" t="n">
        <f aca="false">'Monthly Budget'!AD26</f>
        <v>121707.347416097</v>
      </c>
      <c r="M32" s="40" t="n">
        <f aca="false">IF('Monthly Budget'!AD9&gt;='Monthly Budget'!AD23,ROW()-5,9999)</f>
        <v>27</v>
      </c>
    </row>
    <row r="33" customFormat="false" ht="15" hidden="false" customHeight="false" outlineLevel="0" collapsed="false">
      <c r="H33" s="38" t="n">
        <f aca="false">'Monthly Budget'!AE5</f>
        <v>46844</v>
      </c>
      <c r="I33" s="39" t="n">
        <f aca="false">'Monthly Budget'!AE12</f>
        <v>18722.8492074322</v>
      </c>
      <c r="J33" s="39" t="n">
        <f aca="false">'Monthly Budget'!AE23</f>
        <v>8743.39104705319</v>
      </c>
      <c r="K33" s="39" t="n">
        <f aca="false">'Monthly Budget'!AE26</f>
        <v>131686.805576476</v>
      </c>
      <c r="M33" s="40" t="n">
        <f aca="false">IF('Monthly Budget'!AE9&gt;='Monthly Budget'!AE23,ROW()-5,9999)</f>
        <v>28</v>
      </c>
    </row>
    <row r="34" customFormat="false" ht="15" hidden="false" customHeight="false" outlineLevel="0" collapsed="false">
      <c r="H34" s="38" t="n">
        <f aca="false">'Monthly Budget'!AF5</f>
        <v>46874</v>
      </c>
      <c r="I34" s="39" t="n">
        <f aca="false">'Monthly Budget'!AF12</f>
        <v>19401.6932664948</v>
      </c>
      <c r="J34" s="39" t="n">
        <f aca="false">'Monthly Budget'!AF23</f>
        <v>8778.3646112414</v>
      </c>
      <c r="K34" s="39" t="n">
        <f aca="false">'Monthly Budget'!AF26</f>
        <v>142310.13423173</v>
      </c>
      <c r="M34" s="40" t="n">
        <f aca="false">IF('Monthly Budget'!AF9&gt;='Monthly Budget'!AF23,ROW()-5,9999)</f>
        <v>29</v>
      </c>
    </row>
    <row r="35" customFormat="false" ht="15" hidden="false" customHeight="false" outlineLevel="0" collapsed="false">
      <c r="H35" s="38" t="n">
        <f aca="false">'Monthly Budget'!AG5</f>
        <v>46905</v>
      </c>
      <c r="I35" s="39" t="n">
        <f aca="false">'Monthly Budget'!AG12</f>
        <v>20109.9402419441</v>
      </c>
      <c r="J35" s="39" t="n">
        <f aca="false">'Monthly Budget'!AG23</f>
        <v>8813.47806968636</v>
      </c>
      <c r="K35" s="39" t="n">
        <f aca="false">'Monthly Budget'!AG26</f>
        <v>153606.596403987</v>
      </c>
      <c r="M35" s="40" t="n">
        <f aca="false">IF('Monthly Budget'!AG9&gt;='Monthly Budget'!AG23,ROW()-5,9999)</f>
        <v>30</v>
      </c>
    </row>
  </sheetData>
  <mergeCells count="2">
    <mergeCell ref="B2:F2"/>
    <mergeCell ref="B3:F3"/>
  </mergeCells>
  <conditionalFormatting sqref="B9">
    <cfRule type="cellIs" priority="2" operator="lessThan" aboveAverage="0" equalAverage="0" bottom="0" percent="0" rank="0" text="" dxfId="0">
      <formula>0</formula>
    </cfRule>
  </conditionalFormatting>
  <conditionalFormatting sqref="B15">
    <cfRule type="cellIs" priority="3" operator="lessThan" aboveAverage="0" equalAverage="0" bottom="0" percent="0" rank="0" text="" dxfId="1">
      <formula>0</formula>
    </cfRule>
  </conditionalFormatting>
  <conditionalFormatting sqref="B17">
    <cfRule type="cellIs" priority="4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2026-05-31T13:01:23Z</dcterms:created>
  <dc:creator>openpyxl</dc:creator>
  <dc:description/>
  <dc:language>en-US</dc:language>
  <cp:lastModifiedBy/>
  <dcterms:modified xsi:type="dcterms:W3CDTF">2026-05-31T13:02:46Z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